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8800" yWindow="60" windowWidth="27090" windowHeight="11970" activeTab="4"/>
  </bookViews>
  <sheets>
    <sheet name="Cuadro 2 (columna AD-AC)" sheetId="11" r:id="rId1"/>
    <sheet name="Cuadro 3" sheetId="10" r:id="rId2"/>
    <sheet name="Cuadro 4" sheetId="8" r:id="rId3"/>
    <sheet name="Cuadro 7" sheetId="9" r:id="rId4"/>
    <sheet name="Resumen" sheetId="12" r:id="rId5"/>
    <sheet name="tipo y dur" sheetId="1" r:id="rId6"/>
    <sheet name="Hoja3" sheetId="7" r:id="rId7"/>
    <sheet name="Hoja1" sheetId="5" r:id="rId8"/>
    <sheet name="moneda" sheetId="2" r:id="rId9"/>
    <sheet name="rating" sheetId="3" r:id="rId10"/>
    <sheet name="Moneda AFP E+" sheetId="4" r:id="rId11"/>
    <sheet name="Hoja2" sheetId="6" r:id="rId12"/>
  </sheets>
  <definedNames>
    <definedName name="_xlnm._FilterDatabase" localSheetId="8" hidden="1">moneda!$A$3:$D$43</definedName>
  </definedNames>
  <calcPr calcId="145621" iterate="1" iterateCount="1"/>
</workbook>
</file>

<file path=xl/calcChain.xml><?xml version="1.0" encoding="utf-8"?>
<calcChain xmlns="http://schemas.openxmlformats.org/spreadsheetml/2006/main">
  <c r="P7" i="12" l="1"/>
  <c r="R46" i="12" l="1"/>
  <c r="P31" i="12" l="1"/>
  <c r="Q21" i="12" s="1"/>
  <c r="M3" i="12"/>
  <c r="M27" i="12"/>
  <c r="M4" i="12"/>
  <c r="M5" i="12"/>
  <c r="M6" i="12"/>
  <c r="M7" i="12"/>
  <c r="M8" i="12"/>
  <c r="M9" i="12"/>
  <c r="M10" i="12"/>
  <c r="M11" i="12"/>
  <c r="M12" i="12"/>
  <c r="M13" i="12"/>
  <c r="M14" i="12"/>
  <c r="M15" i="12"/>
  <c r="P23" i="12" s="1"/>
  <c r="R23" i="12" s="1"/>
  <c r="M16" i="12"/>
  <c r="M17" i="12"/>
  <c r="M18" i="12"/>
  <c r="M19" i="12"/>
  <c r="M20" i="12"/>
  <c r="M21" i="12"/>
  <c r="M22" i="12"/>
  <c r="M23" i="12"/>
  <c r="M24" i="12"/>
  <c r="M25" i="12"/>
  <c r="M28" i="12"/>
  <c r="M29" i="12"/>
  <c r="M31" i="12"/>
  <c r="P24" i="12" s="1"/>
  <c r="R24" i="12" s="1"/>
  <c r="M32" i="12"/>
  <c r="M33" i="12"/>
  <c r="M34" i="12"/>
  <c r="M35" i="12"/>
  <c r="P26" i="12" s="1"/>
  <c r="R26" i="12" s="1"/>
  <c r="M36" i="12"/>
  <c r="P27" i="12" s="1"/>
  <c r="M37" i="12"/>
  <c r="M38" i="12"/>
  <c r="P28" i="12" s="1"/>
  <c r="M39" i="12"/>
  <c r="M40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Q4" i="12" s="1"/>
  <c r="U4" i="12" s="1"/>
  <c r="I17" i="12"/>
  <c r="I18" i="12"/>
  <c r="I19" i="12"/>
  <c r="I20" i="12"/>
  <c r="I21" i="12"/>
  <c r="I22" i="12"/>
  <c r="I23" i="12"/>
  <c r="I24" i="12"/>
  <c r="Q7" i="12" s="1"/>
  <c r="U7" i="12" s="1"/>
  <c r="I25" i="12"/>
  <c r="Q8" i="12" s="1"/>
  <c r="I26" i="12"/>
  <c r="I27" i="12"/>
  <c r="Q10" i="12" s="1"/>
  <c r="I28" i="12"/>
  <c r="Q9" i="12" s="1"/>
  <c r="I29" i="12"/>
  <c r="I30" i="12"/>
  <c r="Q16" i="12" s="1"/>
  <c r="I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P10" i="12" s="1"/>
  <c r="T10" i="12" s="1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3" i="12"/>
  <c r="C4" i="12"/>
  <c r="C5" i="12"/>
  <c r="P13" i="12" s="1"/>
  <c r="T13" i="12" s="1"/>
  <c r="C6" i="12"/>
  <c r="C7" i="12"/>
  <c r="C8" i="12"/>
  <c r="C9" i="12"/>
  <c r="C10" i="12"/>
  <c r="C11" i="12"/>
  <c r="P6" i="12" s="1"/>
  <c r="C12" i="12"/>
  <c r="P5" i="12" s="1"/>
  <c r="C13" i="12"/>
  <c r="P8" i="12" s="1"/>
  <c r="T8" i="12" s="1"/>
  <c r="C14" i="12"/>
  <c r="T7" i="12" s="1"/>
  <c r="C15" i="12"/>
  <c r="C16" i="12"/>
  <c r="C17" i="12"/>
  <c r="C18" i="12"/>
  <c r="C19" i="12"/>
  <c r="C20" i="12"/>
  <c r="P12" i="12" s="1"/>
  <c r="T12" i="12" s="1"/>
  <c r="C21" i="12"/>
  <c r="C22" i="12"/>
  <c r="C23" i="12"/>
  <c r="C24" i="12"/>
  <c r="C25" i="12"/>
  <c r="C26" i="12"/>
  <c r="C27" i="12"/>
  <c r="C28" i="12"/>
  <c r="C29" i="12"/>
  <c r="C30" i="12"/>
  <c r="C3" i="12"/>
  <c r="H18" i="1"/>
  <c r="N18" i="12" l="1"/>
  <c r="N19" i="12" s="1"/>
  <c r="N4" i="12"/>
  <c r="Q22" i="12"/>
  <c r="Q25" i="12"/>
  <c r="Q27" i="12"/>
  <c r="R27" i="12" s="1"/>
  <c r="Q19" i="12"/>
  <c r="P9" i="12"/>
  <c r="T9" i="12" s="1"/>
  <c r="Q20" i="12"/>
  <c r="T5" i="12"/>
  <c r="Q28" i="12"/>
  <c r="R28" i="12" s="1"/>
  <c r="P19" i="12"/>
  <c r="P21" i="12"/>
  <c r="R21" i="12" s="1"/>
  <c r="P20" i="12"/>
  <c r="P25" i="12"/>
  <c r="P22" i="12"/>
  <c r="P11" i="12"/>
  <c r="T11" i="12" s="1"/>
  <c r="Q6" i="12"/>
  <c r="Q5" i="12"/>
  <c r="P14" i="12"/>
  <c r="T14" i="12" s="1"/>
  <c r="P4" i="12"/>
  <c r="T4" i="12" s="1"/>
  <c r="R25" i="12" l="1"/>
  <c r="R22" i="12"/>
  <c r="R20" i="12"/>
  <c r="R19" i="12"/>
  <c r="U5" i="12"/>
  <c r="P29" i="12"/>
  <c r="Q15" i="12"/>
  <c r="U15" i="12" s="1"/>
  <c r="P15" i="12"/>
  <c r="C62" i="1" l="1"/>
  <c r="C57" i="1"/>
  <c r="C56" i="1"/>
  <c r="D53" i="1"/>
  <c r="D52" i="1"/>
  <c r="C47" i="1"/>
  <c r="B62" i="1"/>
  <c r="N20" i="2" l="1"/>
  <c r="C19" i="1" l="1"/>
  <c r="D12" i="3" l="1"/>
  <c r="D11" i="3"/>
  <c r="C4" i="1" l="1"/>
  <c r="D8" i="3" l="1"/>
  <c r="D9" i="3"/>
  <c r="D10" i="3"/>
  <c r="J21" i="2"/>
  <c r="J19" i="2"/>
  <c r="C23" i="1"/>
  <c r="M21" i="2"/>
  <c r="C8" i="1"/>
  <c r="F14" i="1"/>
  <c r="H14" i="1" s="1"/>
  <c r="J24" i="2"/>
  <c r="L21" i="2"/>
  <c r="N19" i="2"/>
  <c r="L19" i="2"/>
  <c r="D8" i="4" s="1"/>
  <c r="M19" i="2"/>
  <c r="B9" i="2"/>
  <c r="C7" i="1"/>
  <c r="C3" i="1"/>
  <c r="G22" i="1"/>
  <c r="J20" i="2"/>
  <c r="D14" i="3" l="1"/>
  <c r="L17" i="2"/>
  <c r="J22" i="2"/>
  <c r="M20" i="2"/>
  <c r="L20" i="2"/>
  <c r="B14" i="2"/>
  <c r="C26" i="1"/>
  <c r="F16" i="1"/>
  <c r="H16" i="1" s="1"/>
  <c r="F17" i="1"/>
  <c r="H17" i="1" s="1"/>
  <c r="L24" i="2"/>
  <c r="L22" i="2"/>
  <c r="C30" i="1"/>
  <c r="C29" i="1"/>
  <c r="B10" i="2"/>
  <c r="O19" i="2" l="1"/>
  <c r="M17" i="2"/>
  <c r="O21" i="2" l="1"/>
  <c r="O22" i="2"/>
  <c r="O20" i="2"/>
  <c r="G11" i="1"/>
  <c r="H18" i="4" l="1"/>
  <c r="H19" i="4"/>
  <c r="H20" i="4"/>
  <c r="G18" i="4"/>
  <c r="G20" i="4"/>
  <c r="G19" i="4"/>
  <c r="C5" i="1" l="1"/>
  <c r="C9" i="1"/>
  <c r="C10" i="1"/>
  <c r="C11" i="1"/>
  <c r="C52" i="1" s="1"/>
  <c r="C12" i="1"/>
  <c r="C53" i="1" s="1"/>
  <c r="C13" i="1"/>
  <c r="F8" i="1" s="1"/>
  <c r="H8" i="1" s="1"/>
  <c r="C14" i="1"/>
  <c r="F7" i="1" s="1"/>
  <c r="H7" i="1" s="1"/>
  <c r="C15" i="1"/>
  <c r="C16" i="1"/>
  <c r="C17" i="1"/>
  <c r="C18" i="1"/>
  <c r="C20" i="1"/>
  <c r="F9" i="1" s="1"/>
  <c r="H9" i="1" s="1"/>
  <c r="C21" i="1"/>
  <c r="C22" i="1"/>
  <c r="C24" i="1"/>
  <c r="C25" i="1"/>
  <c r="C27" i="1"/>
  <c r="C28" i="1"/>
  <c r="F10" i="1" l="1"/>
  <c r="F5" i="1"/>
  <c r="E53" i="1"/>
  <c r="F6" i="1"/>
  <c r="H6" i="1" s="1"/>
  <c r="I21" i="2"/>
  <c r="G21" i="2" s="1"/>
  <c r="I22" i="2"/>
  <c r="K22" i="2" s="1"/>
  <c r="E12" i="4"/>
  <c r="F11" i="4"/>
  <c r="E11" i="4"/>
  <c r="F10" i="4"/>
  <c r="D12" i="4"/>
  <c r="D11" i="4"/>
  <c r="E10" i="4"/>
  <c r="D10" i="4"/>
  <c r="E8" i="4"/>
  <c r="F9" i="4"/>
  <c r="E9" i="4"/>
  <c r="D9" i="4"/>
  <c r="F8" i="4"/>
  <c r="B28" i="2"/>
  <c r="F4" i="3"/>
  <c r="H14" i="4"/>
  <c r="G14" i="4"/>
  <c r="F5" i="3"/>
  <c r="F6" i="3"/>
  <c r="F7" i="3"/>
  <c r="F8" i="3"/>
  <c r="I24" i="2" l="1"/>
  <c r="K24" i="2" s="1"/>
  <c r="H10" i="1"/>
  <c r="I19" i="2"/>
  <c r="H5" i="1"/>
  <c r="F11" i="1"/>
  <c r="D18" i="4"/>
  <c r="I20" i="2"/>
  <c r="K20" i="2" s="1"/>
  <c r="D19" i="4"/>
  <c r="K21" i="2"/>
  <c r="G22" i="2"/>
  <c r="E13" i="4"/>
  <c r="D13" i="4"/>
  <c r="I23" i="2"/>
  <c r="J23" i="2" s="1"/>
  <c r="O23" i="2" s="1"/>
  <c r="E19" i="4"/>
  <c r="D20" i="4"/>
  <c r="E20" i="4"/>
  <c r="F9" i="3"/>
  <c r="F19" i="1"/>
  <c r="H19" i="1" s="1"/>
  <c r="G53" i="1" l="1"/>
  <c r="F15" i="1" s="1"/>
  <c r="H15" i="1" s="1"/>
  <c r="G20" i="2"/>
  <c r="I25" i="2"/>
  <c r="K19" i="2"/>
  <c r="G19" i="2"/>
  <c r="D14" i="4"/>
  <c r="G23" i="2"/>
  <c r="N24" i="2"/>
  <c r="G24" i="2" s="1"/>
  <c r="E18" i="4"/>
  <c r="F20" i="1" l="1"/>
  <c r="F22" i="1"/>
  <c r="J26" i="2"/>
  <c r="K23" i="2"/>
  <c r="K25" i="2" s="1"/>
  <c r="O24" i="2"/>
  <c r="J25" i="2"/>
  <c r="E14" i="4"/>
  <c r="F10" i="3"/>
  <c r="B4" i="2"/>
  <c r="J27" i="2" l="1"/>
  <c r="B40" i="2" l="1"/>
  <c r="B42" i="2"/>
  <c r="B41" i="2"/>
  <c r="B43" i="2"/>
  <c r="B26" i="2"/>
  <c r="B25" i="2"/>
  <c r="B24" i="2"/>
  <c r="B36" i="2"/>
  <c r="B38" i="2"/>
  <c r="B37" i="2"/>
  <c r="B21" i="2"/>
  <c r="B23" i="2"/>
  <c r="B22" i="2"/>
  <c r="B19" i="2"/>
  <c r="B17" i="2"/>
  <c r="B15" i="2"/>
  <c r="B33" i="2"/>
  <c r="B34" i="2"/>
  <c r="B5" i="2"/>
  <c r="B7" i="2"/>
  <c r="B6" i="2"/>
  <c r="B31" i="2"/>
  <c r="B30" i="2"/>
  <c r="B29" i="2"/>
  <c r="B20" i="2"/>
  <c r="B18" i="2"/>
  <c r="B16" i="2"/>
  <c r="B12" i="2"/>
  <c r="B11" i="2"/>
  <c r="B13" i="2"/>
  <c r="B8" i="2"/>
  <c r="F12" i="4"/>
</calcChain>
</file>

<file path=xl/sharedStrings.xml><?xml version="1.0" encoding="utf-8"?>
<sst xmlns="http://schemas.openxmlformats.org/spreadsheetml/2006/main" count="3077" uniqueCount="366">
  <si>
    <t>%Fondo</t>
  </si>
  <si>
    <t>INVERSIÓN NACIONAL TOTAL</t>
  </si>
  <si>
    <t>     RENTA VARIABLE</t>
  </si>
  <si>
    <t>       Acciones</t>
  </si>
  <si>
    <t>     RENTA FIJA</t>
  </si>
  <si>
    <t>       Instrumentos Banco Central</t>
  </si>
  <si>
    <t>       Instrumentos Tesorería</t>
  </si>
  <si>
    <t>       Bonos de Reconocimiento y MINVU</t>
  </si>
  <si>
    <t>       Bonos Bancarios</t>
  </si>
  <si>
    <t>       Letras Hipotecarias</t>
  </si>
  <si>
    <t>       Depósitos a Plazo</t>
  </si>
  <si>
    <t>       Fondos Mutuos y de Inversión</t>
  </si>
  <si>
    <t>       DERIVADOS</t>
  </si>
  <si>
    <t>INVERSIÓN EXTRANJERA TOTAL</t>
  </si>
  <si>
    <t>       Fondos Mutuos</t>
  </si>
  <si>
    <t>       Otros</t>
  </si>
  <si>
    <t>TOTAL ACTIVOS</t>
  </si>
  <si>
    <t>SUBTOTAL RENTA VARIABLE</t>
  </si>
  <si>
    <t>SUBTOTAL RENTA FIJA</t>
  </si>
  <si>
    <t>SUBTOTAL DERIVADOS</t>
  </si>
  <si>
    <t>SUBTOTAL OTROS</t>
  </si>
  <si>
    <t>Central-Tesoreria-Estatal</t>
  </si>
  <si>
    <t>Bono Bancario y Corporativo</t>
  </si>
  <si>
    <t>Dep. A Plazo</t>
  </si>
  <si>
    <t>Letras Hip</t>
  </si>
  <si>
    <t>Acciones</t>
  </si>
  <si>
    <t>Inv. Extranjero</t>
  </si>
  <si>
    <t>INSTITUCIONES</t>
  </si>
  <si>
    <t>E</t>
  </si>
  <si>
    <t>       BCP</t>
  </si>
  <si>
    <t>       BCU</t>
  </si>
  <si>
    <t>       CERO</t>
  </si>
  <si>
    <t>       PRC</t>
  </si>
  <si>
    <t>       Total Banco Central de Chile</t>
  </si>
  <si>
    <t>       BTP</t>
  </si>
  <si>
    <t>       BTU</t>
  </si>
  <si>
    <t>       Total Tesorería General</t>
  </si>
  <si>
    <t>       BRP</t>
  </si>
  <si>
    <t>       BVL</t>
  </si>
  <si>
    <t>       Total I.N.P. u otros</t>
  </si>
  <si>
    <t>TOTAL INSTITUCIONES ESTATALES</t>
  </si>
  <si>
    <t>       BCS</t>
  </si>
  <si>
    <t>       DEB</t>
  </si>
  <si>
    <t>TOTAL EMPRESAS</t>
  </si>
  <si>
    <t>       BEF</t>
  </si>
  <si>
    <t>       BSF</t>
  </si>
  <si>
    <t>       DPF</t>
  </si>
  <si>
    <t>       LHF</t>
  </si>
  <si>
    <t>TOTAL INSTITUCIONES FINANCIERAS</t>
  </si>
  <si>
    <t>       BEE</t>
  </si>
  <si>
    <t>       EBC</t>
  </si>
  <si>
    <t>       TBI</t>
  </si>
  <si>
    <t>TOTAL EXTRANJERO</t>
  </si>
  <si>
    <t>Unidad indexada</t>
  </si>
  <si>
    <t>% Invertido</t>
  </si>
  <si>
    <r>
      <t>  </t>
    </r>
    <r>
      <rPr>
        <b/>
        <sz val="8"/>
        <color rgb="FF7C7B7B"/>
        <rFont val="Trebuchet MS"/>
        <family val="2"/>
      </rPr>
      <t>Renta Fija Nacional</t>
    </r>
  </si>
  <si>
    <t>NO</t>
  </si>
  <si>
    <t>US$</t>
  </si>
  <si>
    <t>UF</t>
  </si>
  <si>
    <t>IVP</t>
  </si>
  <si>
    <t>BRL</t>
  </si>
  <si>
    <t>MXN</t>
  </si>
  <si>
    <t>GBP</t>
  </si>
  <si>
    <t>BCP</t>
  </si>
  <si>
    <t>Bonos del Banco Central de Chile expresados en pesos</t>
  </si>
  <si>
    <t>BCS</t>
  </si>
  <si>
    <t>Bonos respaldados por títulos de créditos transferibles</t>
  </si>
  <si>
    <t>BCU</t>
  </si>
  <si>
    <t>Bonos del banco Central de Chile expresados en UF</t>
  </si>
  <si>
    <t>BEE</t>
  </si>
  <si>
    <t>Bonos emitidos por empresas extranjeras</t>
  </si>
  <si>
    <t>BEF</t>
  </si>
  <si>
    <t>Bonos Bancarios emitidos por Instituciones Financieras</t>
  </si>
  <si>
    <t>BRP</t>
  </si>
  <si>
    <t>Bonos de reconocimiento Previsionales emitidos por el INP u otras Instituciones de Previsión</t>
  </si>
  <si>
    <t>BSF</t>
  </si>
  <si>
    <t>Bonos subordinados emitidos por Instituciones Financieras</t>
  </si>
  <si>
    <t>BTP</t>
  </si>
  <si>
    <t>Bonos de la Tesorería General de la República, en pesos</t>
  </si>
  <si>
    <t>BTU</t>
  </si>
  <si>
    <t>Bonos de la Tesorería General de la República en UF</t>
  </si>
  <si>
    <t>BVL</t>
  </si>
  <si>
    <t>Bonos Vivienda leasing</t>
  </si>
  <si>
    <t>CERO</t>
  </si>
  <si>
    <t>Cupones de emisión reajustables opcionales en dólares</t>
  </si>
  <si>
    <t>DEB</t>
  </si>
  <si>
    <t>Bonos de Empresas Públicas y Privadas</t>
  </si>
  <si>
    <t>DPF</t>
  </si>
  <si>
    <t>Depósitos a plazo y pagarés emitidos por Instituciones Financieras</t>
  </si>
  <si>
    <t>EBC</t>
  </si>
  <si>
    <t>Títulos de crédito emitidos por Estados extranjeros y Bancos Centrales extranjeros</t>
  </si>
  <si>
    <t>ECO</t>
  </si>
  <si>
    <t>Efectos de Comercio</t>
  </si>
  <si>
    <t>LHF</t>
  </si>
  <si>
    <t>letras de crédito emitidas por Instituciones Financieras</t>
  </si>
  <si>
    <t>PDC</t>
  </si>
  <si>
    <t>Pagarés descontables del Banco Central</t>
  </si>
  <si>
    <t>PRC</t>
  </si>
  <si>
    <t>Pagarés reajustables con pago de cupones</t>
  </si>
  <si>
    <t>TBE</t>
  </si>
  <si>
    <t>Títulos de crédito de renta fija emitidos por entidades bancarias extranjeras</t>
  </si>
  <si>
    <t>TBI</t>
  </si>
  <si>
    <t>Títulos de crédito emitidos por entidades bancarias internacionales</t>
  </si>
  <si>
    <t>Intermediación Financiera Nacional</t>
  </si>
  <si>
    <t>CLP</t>
  </si>
  <si>
    <t>otros</t>
  </si>
  <si>
    <t>       Bonos de Empresas y Efectos de Comercio</t>
  </si>
  <si>
    <t>Categorias</t>
  </si>
  <si>
    <t>FONDO TIPO E</t>
  </si>
  <si>
    <t>%</t>
  </si>
  <si>
    <t>Categoria AAA</t>
  </si>
  <si>
    <t>Categoria AA</t>
  </si>
  <si>
    <t>Categoria A</t>
  </si>
  <si>
    <t>Categoria BBB</t>
  </si>
  <si>
    <t>Dur Cartera</t>
  </si>
  <si>
    <t>AFP's</t>
  </si>
  <si>
    <t>E+</t>
  </si>
  <si>
    <t>DAP</t>
  </si>
  <si>
    <t>Cuadro N°3</t>
  </si>
  <si>
    <t>       PDC</t>
  </si>
  <si>
    <r>
      <rPr>
        <b/>
        <sz val="8"/>
        <color rgb="FF7C7B7B"/>
        <rFont val="Trebuchet MS"/>
        <family val="2"/>
      </rPr>
      <t xml:space="preserve">CUADRO Nº 2: </t>
    </r>
    <r>
      <rPr>
        <sz val="8"/>
        <color rgb="FF7C7B7B"/>
        <rFont val="Trebuchet MS"/>
        <family val="2"/>
      </rPr>
      <t>CARTERA AGREGADA DE LOS FONDOS DE PENSIONES TIPO E POR AFP</t>
    </r>
  </si>
  <si>
    <t>CUADRO Nº 7: PLAZO PROMEDIO DE LAS INVERSIONES DE LOS FONDOS DE PENSIONES POR TIPO DE FONDO E INSTRUMENTO (1)</t>
  </si>
  <si>
    <t>CUADRO Nº 5: DIVERSIFICACION DE LAS INVERSIONES DE LOS FONDOS DE PENSIONES POR TIPO DE FONDO Y CATEGORIA DE RIESGO PARA INSTRUMENTOS DE DEUDA DE LARGO PLAZO</t>
  </si>
  <si>
    <t>Categoria C</t>
  </si>
  <si>
    <r>
      <rPr>
        <b/>
        <sz val="8"/>
        <color rgb="FF7C7B7B"/>
        <rFont val="Trebuchet MS"/>
        <family val="2"/>
      </rPr>
      <t xml:space="preserve">CUADRO Nº 4: </t>
    </r>
    <r>
      <rPr>
        <sz val="8"/>
        <color rgb="FF7C7B7B"/>
        <rFont val="Trebuchet MS"/>
        <family val="2"/>
      </rPr>
      <t>TASAS DE VALORACIÓN POR TIPO DE INSTRUMENTO FINANCIERO DE LOS FONDOS DE PENSIONES POR TIPO DE FONDO</t>
    </r>
  </si>
  <si>
    <t>Centrales</t>
  </si>
  <si>
    <t>       BEC</t>
  </si>
  <si>
    <t>BEC</t>
  </si>
  <si>
    <t>Bonos del Estado de Chile</t>
  </si>
  <si>
    <t>Categoria BB</t>
  </si>
  <si>
    <t xml:space="preserve"> Junio</t>
  </si>
  <si>
    <t>CAPITAL</t>
  </si>
  <si>
    <t>CUPRUM</t>
  </si>
  <si>
    <t>HABITAT</t>
  </si>
  <si>
    <t>MODELO</t>
  </si>
  <si>
    <t>PLANVITAL</t>
  </si>
  <si>
    <t>PROVIDA</t>
  </si>
  <si>
    <t>TOTAL</t>
  </si>
  <si>
    <t>MMUS$</t>
  </si>
  <si>
    <t>-</t>
  </si>
  <si>
    <t>A</t>
  </si>
  <si>
    <t>TOTAL GENERAL</t>
  </si>
  <si>
    <t>Tipo de instrumento</t>
  </si>
  <si>
    <t>Unidad de Indexación</t>
  </si>
  <si>
    <t>Tasa de Interes</t>
  </si>
  <si>
    <t>IPC</t>
  </si>
  <si>
    <r>
      <t>  </t>
    </r>
    <r>
      <rPr>
        <b/>
        <sz val="8"/>
        <color rgb="FF7C7B7B"/>
        <rFont val="Trebuchet MS"/>
        <family val="2"/>
      </rPr>
      <t>Intermediación Financiera Nacional</t>
    </r>
  </si>
  <si>
    <r>
      <t>  </t>
    </r>
    <r>
      <rPr>
        <b/>
        <sz val="8"/>
        <color rgb="FF7C7B7B"/>
        <rFont val="Trebuchet MS"/>
        <family val="2"/>
      </rPr>
      <t>EXTS</t>
    </r>
  </si>
  <si>
    <t>Renta Fija Nacional</t>
  </si>
  <si>
    <t>B</t>
  </si>
  <si>
    <t>C</t>
  </si>
  <si>
    <t>D</t>
  </si>
  <si>
    <t>       BHM</t>
  </si>
  <si>
    <t>BHM</t>
  </si>
  <si>
    <t>Bono hipotecario emitido por Inst. financieras</t>
  </si>
  <si>
    <t>Categoria AAA (1)</t>
  </si>
  <si>
    <t>       Nacional</t>
  </si>
  <si>
    <t>       Extranjero</t>
  </si>
  <si>
    <t>Categoria B</t>
  </si>
  <si>
    <t>Categoria D</t>
  </si>
  <si>
    <t>Categoria E (2)</t>
  </si>
  <si>
    <t>Sep</t>
  </si>
  <si>
    <t>Oct</t>
  </si>
  <si>
    <t>AUD</t>
  </si>
  <si>
    <t>Cop</t>
  </si>
  <si>
    <t>COP</t>
  </si>
  <si>
    <t>EUR</t>
  </si>
  <si>
    <t>       BCA</t>
  </si>
  <si>
    <t>       Fondos de Inversión, FICE y Otros</t>
  </si>
  <si>
    <t>       Disponible(1)</t>
  </si>
  <si>
    <t>     OTROS NACIONALES(2)</t>
  </si>
  <si>
    <t>     OTROS EXTRANJEROS(3)</t>
  </si>
  <si>
    <t>BCA</t>
  </si>
  <si>
    <t>SISTEMA</t>
  </si>
  <si>
    <t>Corresponde al plazo de los instrumentos, que se calcula de acuerdo a lo dispuesto en la Circular Nº 1.557 de esta Superintendencia.</t>
  </si>
  <si>
    <t>Bonos canjeables en Acciones</t>
  </si>
  <si>
    <t>Bonos hipotecarios emitidos por Instituciones Financieras</t>
  </si>
  <si>
    <t>MM$</t>
  </si>
  <si>
    <t>       ACC</t>
  </si>
  <si>
    <t>       SNT</t>
  </si>
  <si>
    <t>       WNM</t>
  </si>
  <si>
    <t>       ADR</t>
  </si>
  <si>
    <t>       CFID</t>
  </si>
  <si>
    <t>       CFIV</t>
  </si>
  <si>
    <t>       CFMD</t>
  </si>
  <si>
    <t>       CFMV</t>
  </si>
  <si>
    <t>       FICE</t>
  </si>
  <si>
    <t>TOTAL FONDOS MUTUOS, DE INVERSIÓN Y DE INVERSIÓN DE CAP. RIESGO</t>
  </si>
  <si>
    <t>       AEE</t>
  </si>
  <si>
    <t>       CFID(3)</t>
  </si>
  <si>
    <t>       CFIV(3)</t>
  </si>
  <si>
    <t>       CFMD(3)</t>
  </si>
  <si>
    <t>       CFMV(3)</t>
  </si>
  <si>
    <t>       CIEV</t>
  </si>
  <si>
    <t>       CMED</t>
  </si>
  <si>
    <t>       CMEV</t>
  </si>
  <si>
    <t>       ETFA</t>
  </si>
  <si>
    <t>       ETFB</t>
  </si>
  <si>
    <t>       SET</t>
  </si>
  <si>
    <t>       WEM</t>
  </si>
  <si>
    <t>       WEN</t>
  </si>
  <si>
    <t>       CC2</t>
  </si>
  <si>
    <t>       CC3</t>
  </si>
  <si>
    <t>       OTROS(4)</t>
  </si>
  <si>
    <t>TOTAL ACTIVO DISPONIBLE</t>
  </si>
  <si>
    <t>TOTAL ACTIVOS MM$</t>
  </si>
  <si>
    <t>TOTAL ACTIVOS MMUS$</t>
  </si>
  <si>
    <t>ns1:glosa</t>
  </si>
  <si>
    <t>codigo</t>
  </si>
  <si>
    <t>ns1:monto_dolares</t>
  </si>
  <si>
    <t>ns1:porcentaje</t>
  </si>
  <si>
    <t>ns1:monto_pesos</t>
  </si>
  <si>
    <t>ns1:tasa_interes</t>
  </si>
  <si>
    <t>Renta Fija Nacional:BCA</t>
  </si>
  <si>
    <t>Intermediación Financiera Nacional:DPF</t>
  </si>
  <si>
    <t>EXTS:BEE</t>
  </si>
  <si>
    <t>Total Banco Central de Chile</t>
  </si>
  <si>
    <t>Total Tesorería General</t>
  </si>
  <si>
    <t>Total I.N.P. u otros</t>
  </si>
  <si>
    <t>ns1:plazo</t>
  </si>
  <si>
    <t>ns1:monto_dolares3</t>
  </si>
  <si>
    <t>ns1:porcentaje4</t>
  </si>
  <si>
    <t>ns1:monto_pesos5</t>
  </si>
  <si>
    <t>ns1:tasa_interes6</t>
  </si>
  <si>
    <t>ns1:plazo7</t>
  </si>
  <si>
    <t>ns1:porcentaje_sobre_emisor</t>
  </si>
  <si>
    <t>ns1:porcentaje_sobre_extranjero</t>
  </si>
  <si>
    <t>ns1:unidad_indexada</t>
  </si>
  <si>
    <t>ACC</t>
  </si>
  <si>
    <t>SNT</t>
  </si>
  <si>
    <t>WNM</t>
  </si>
  <si>
    <t>ADR</t>
  </si>
  <si>
    <t>CFID</t>
  </si>
  <si>
    <t>CFIV</t>
  </si>
  <si>
    <t>CFMD</t>
  </si>
  <si>
    <t>CFMV</t>
  </si>
  <si>
    <t>FICE</t>
  </si>
  <si>
    <t>AEE</t>
  </si>
  <si>
    <t>CFID(3)</t>
  </si>
  <si>
    <t>CFIV(3)</t>
  </si>
  <si>
    <t>CFMD(3)</t>
  </si>
  <si>
    <t>CFMV(3)</t>
  </si>
  <si>
    <t>CIEV</t>
  </si>
  <si>
    <t>CMED</t>
  </si>
  <si>
    <t>CMEV</t>
  </si>
  <si>
    <t>ETFA</t>
  </si>
  <si>
    <t>ETFB</t>
  </si>
  <si>
    <t>SET</t>
  </si>
  <si>
    <t>WEM</t>
  </si>
  <si>
    <t>WEN</t>
  </si>
  <si>
    <t>CC2</t>
  </si>
  <si>
    <t>CC3</t>
  </si>
  <si>
    <t>OTROS(4)</t>
  </si>
  <si>
    <t>ns1:titulo10</t>
  </si>
  <si>
    <t>ns1:subtitulo11</t>
  </si>
  <si>
    <t>numero12</t>
  </si>
  <si>
    <t>ns1:glosa13</t>
  </si>
  <si>
    <t>ns1:numero</t>
  </si>
  <si>
    <t>ns1:dv</t>
  </si>
  <si>
    <t>ns1:nombre</t>
  </si>
  <si>
    <t>ns1:monto_dolares14</t>
  </si>
  <si>
    <t>ns1:porcentaje15</t>
  </si>
  <si>
    <t>ns1:monto_dolares16</t>
  </si>
  <si>
    <t>ns1:porcentaje17</t>
  </si>
  <si>
    <t>CUADRO Nº 2: CARTERA AGREGADA DE LOS FONDOS DE PENSIONES TIPO E POR AFP</t>
  </si>
  <si>
    <t>1</t>
  </si>
  <si>
    <t>0</t>
  </si>
  <si>
    <t>8</t>
  </si>
  <si>
    <t>3</t>
  </si>
  <si>
    <t>K</t>
  </si>
  <si>
    <t>RENTA VARIABLE</t>
  </si>
  <si>
    <t>Fondos de Inversión, FICE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</si>
  <si>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</si>
  <si>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</si>
  <si>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</si>
  <si>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</si>
  <si>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</si>
  <si>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</si>
  <si>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</si>
  <si>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</si>
  <si>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</si>
  <si>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</si>
  <si>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</si>
  <si>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</si>
  <si>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Fondos Mutuos</t>
  </si>
  <si>
    <t>Otros</t>
  </si>
  <si>
    <t>OTROS EXTRANJEROS(3)</t>
  </si>
  <si>
    <t>Acciones Locales</t>
  </si>
  <si>
    <t>Extranjero / Renta Variable</t>
  </si>
  <si>
    <t>Total</t>
  </si>
  <si>
    <t>Corresponde a Cuentas Corrientes Tipo 2</t>
  </si>
  <si>
    <t>Incluye Banco Recaudaciones, Banco retiros de ahorro, Banco pago de beneficios, Banco pago de ahorro previsional voluntario, Valores por depositar y en tránsito Nacinales y Cargos en Cuentas Bancarias, además de Inversión en Opciones de Suscripción de Acciones y Cuotas de Fondos de Inversión Nacioales.</t>
  </si>
  <si>
    <t>Valores por depositar y en tránsito Extranjeros</t>
  </si>
  <si>
    <t>Porcentaje respecto al total de activos</t>
  </si>
  <si>
    <t>Según del valor del dólar observado al último día hábil del mes</t>
  </si>
  <si>
    <t>Corresponde a la inversión indirecta en el extranjero efectuado por los Fondos de Pensiones a través de los Fondos de inversión y y Fondos mutuos extranjeros</t>
  </si>
  <si>
    <t>Incluye Banco Recaudaciones, Banco retiros de ahorro, Banco pago de beneficios, Banco pago de ahorro previsional voluntario, Valores por depositar y en tránsito y Activos transitorios.</t>
  </si>
  <si>
    <t>Acciones de Sociedades Anónimas Abiertas</t>
  </si>
  <si>
    <t>Certificados negociables representativos de títulos accionarios de entidades extranjeras, emitidos por bancos depositarios en el extranjero</t>
  </si>
  <si>
    <t>Acciones de empresas y entidades bancarias extranjeras</t>
  </si>
  <si>
    <t>Banco Inversiones nacionales</t>
  </si>
  <si>
    <t>Banco Inversiones extranjeras</t>
  </si>
  <si>
    <t>Cuotas de Fondos de Inversión nacionales</t>
  </si>
  <si>
    <t>Cuotas de Fondos mutuos nacionales</t>
  </si>
  <si>
    <t>Cuotas de participación emitidas por Fondos de Inversión extranjeros</t>
  </si>
  <si>
    <t>Cuotas de participación emitidas por Fondos mutuos extranjeros</t>
  </si>
  <si>
    <t>Títulos representativos de índices accionarios extranjeros</t>
  </si>
  <si>
    <t>Títulos representativos de índices de renta fija</t>
  </si>
  <si>
    <t>Cuotas de Participación emitidas por Fondos de Inversión de Capital extranjero</t>
  </si>
  <si>
    <t>Swap extranjero de tasas de interés</t>
  </si>
  <si>
    <t>Swap nacionales en tasas</t>
  </si>
  <si>
    <t>WEMC</t>
  </si>
  <si>
    <t>Forward en monedas, correspondientes a operaciones de cobertura de riesgo financiero en el extranjero</t>
  </si>
  <si>
    <t>WEMV</t>
  </si>
  <si>
    <t>WENC</t>
  </si>
  <si>
    <t>Forwards de compra de monedas en el extranjero en que una de las monedas involucradas es nacional</t>
  </si>
  <si>
    <t>WENV</t>
  </si>
  <si>
    <t>Forwards de venta de monedas en el extranjero en que una de las monedas involucradas es nacional</t>
  </si>
  <si>
    <t>WNMC</t>
  </si>
  <si>
    <t>Forward en monedas correspondientes a operaciones de cobertura de riesgo financiero en el mercado nacional</t>
  </si>
  <si>
    <t>WNMV</t>
  </si>
  <si>
    <t>Duración</t>
  </si>
  <si>
    <t>% En clases de Activos</t>
  </si>
  <si>
    <t>Agregado</t>
  </si>
  <si>
    <t>Desagregado</t>
  </si>
  <si>
    <t>Plazo Promedio en días</t>
  </si>
  <si>
    <t>Días</t>
  </si>
  <si>
    <t>Extranjero / RF Estatal</t>
  </si>
  <si>
    <t>Extranjero / RF otros</t>
  </si>
  <si>
    <t>Extranjero / RF Bonos Empresas</t>
  </si>
  <si>
    <t>Bonos Empresas</t>
  </si>
  <si>
    <t>IIF Local</t>
  </si>
  <si>
    <t>Externo</t>
  </si>
  <si>
    <t>RF Local</t>
  </si>
  <si>
    <t>Total Activos Fondo E</t>
  </si>
  <si>
    <t>Derivatives</t>
  </si>
  <si>
    <t>USDCLP Compra</t>
  </si>
  <si>
    <t>USDCLP Venta</t>
  </si>
  <si>
    <t>UFCLP Compra</t>
  </si>
  <si>
    <t>UFCLP Venta</t>
  </si>
  <si>
    <t>JPYCLP Compra</t>
  </si>
  <si>
    <t>JPYCLP Venta</t>
  </si>
  <si>
    <t>EURCLP Compra</t>
  </si>
  <si>
    <t>EURCLP Venta</t>
  </si>
  <si>
    <t>BRLCLP Compra</t>
  </si>
  <si>
    <t>BRLCLP Venta</t>
  </si>
  <si>
    <t>GBPCLP Compra</t>
  </si>
  <si>
    <t>GBPCLP Venta</t>
  </si>
  <si>
    <t>MXNCLP Compra</t>
  </si>
  <si>
    <t>MXNCLP Venta</t>
  </si>
  <si>
    <t>Asset Class</t>
  </si>
  <si>
    <t>Diff</t>
  </si>
  <si>
    <t>MXNUSD Compra</t>
  </si>
  <si>
    <t>MXNUSD Venta</t>
  </si>
  <si>
    <t>USDMXN Compra</t>
  </si>
  <si>
    <t>USDMXN Venta</t>
  </si>
  <si>
    <t>EURUSD Compra</t>
  </si>
  <si>
    <t>EURUSD Venta</t>
  </si>
  <si>
    <t>USDBRL Compra</t>
  </si>
  <si>
    <t>USDBRL Venta</t>
  </si>
  <si>
    <t>BRLUSD Compra</t>
  </si>
  <si>
    <t>BRLUSD Venta</t>
  </si>
  <si>
    <t>USDEUR Compra</t>
  </si>
  <si>
    <t>USDEUR Venta</t>
  </si>
  <si>
    <t>OSAN</t>
  </si>
  <si>
    <t>Al 31-08-2016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</si>
</sst>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#,##0.00_ ;\-#,##0.00\ "/>
    <numFmt numFmtId="166" formatCode="0.0"/>
    <numFmt numFmtId="167" formatCode="0.000"/>
    <numFmt numFmtId="168" formatCode="0.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7C7B7B"/>
      <name val="Trebuchet MS"/>
      <family val="2"/>
    </font>
    <font>
      <b/>
      <sz val="8"/>
      <color rgb="FF7C7B7B"/>
      <name val="Trebuchet MS"/>
      <family val="2"/>
    </font>
    <font>
      <sz val="8"/>
      <name val="Tahoma"/>
      <family val="2"/>
    </font>
    <font>
      <b/>
      <sz val="8"/>
      <color rgb="FF445B69"/>
      <name val="Trebuchet MS"/>
      <family val="2"/>
    </font>
    <font>
      <b/>
      <sz val="13.5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8"/>
      <color theme="1"/>
      <name val="Tahoma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F8FA"/>
        <bgColor indexed="64"/>
      </patternFill>
    </fill>
    <fill>
      <patternFill patternType="solid">
        <fgColor rgb="FFEEEFEF"/>
        <bgColor indexed="64"/>
      </patternFill>
    </fill>
    <fill>
      <patternFill patternType="solid">
        <fgColor rgb="FFF3FB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/>
      <diagonal/>
    </border>
    <border>
      <left style="medium">
        <color rgb="FFBBBBBC"/>
      </left>
      <right style="medium">
        <color rgb="FFBBBBBC"/>
      </right>
      <top/>
      <bottom style="medium">
        <color rgb="FFBBBBBC"/>
      </bottom>
      <diagonal/>
    </border>
    <border>
      <left style="medium">
        <color rgb="FFBBBBBC"/>
      </left>
      <right/>
      <top style="medium">
        <color rgb="FFBBBBBC"/>
      </top>
      <bottom style="medium">
        <color rgb="FFBBBBBC"/>
      </bottom>
      <diagonal/>
    </border>
    <border>
      <left/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/>
      <top/>
      <bottom/>
      <diagonal/>
    </border>
    <border>
      <left/>
      <right style="medium">
        <color rgb="FFBBBBBC"/>
      </right>
      <top/>
      <bottom/>
      <diagonal/>
    </border>
    <border>
      <left style="medium">
        <color rgb="FFBBBBBC"/>
      </left>
      <right/>
      <top/>
      <bottom style="medium">
        <color rgb="FFBBBBBC"/>
      </bottom>
      <diagonal/>
    </border>
    <border>
      <left/>
      <right/>
      <top/>
      <bottom style="medium">
        <color rgb="FFBBBBBC"/>
      </bottom>
      <diagonal/>
    </border>
    <border>
      <left/>
      <right style="medium">
        <color rgb="FFBBBBBC"/>
      </right>
      <top/>
      <bottom style="medium">
        <color rgb="FFBBBBB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BBBBBC"/>
      </top>
      <bottom/>
      <diagonal/>
    </border>
    <border>
      <left style="medium">
        <color rgb="FFBBBBBC"/>
      </left>
      <right/>
      <top style="medium">
        <color rgb="FFBBBBB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BBBBC"/>
      </right>
      <top style="medium">
        <color rgb="FFBBBBBC"/>
      </top>
      <bottom/>
      <diagonal/>
    </border>
    <border>
      <left/>
      <right/>
      <top style="medium">
        <color rgb="FFBBBBBC"/>
      </top>
      <bottom style="medium">
        <color rgb="FFBBBBB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6"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vertical="center" wrapText="1"/>
    </xf>
    <xf numFmtId="0" fontId="4" fillId="0" borderId="11" xfId="0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12" xfId="0" applyFont="1" applyBorder="1" applyAlignment="1" applyProtection="1"/>
    <xf numFmtId="164" fontId="4" fillId="0" borderId="13" xfId="2" applyNumberFormat="1" applyFont="1" applyBorder="1" applyAlignment="1" applyProtection="1"/>
    <xf numFmtId="164" fontId="0" fillId="0" borderId="0" xfId="2" applyNumberFormat="1" applyFont="1"/>
    <xf numFmtId="164" fontId="0" fillId="0" borderId="0" xfId="0" applyNumberFormat="1"/>
    <xf numFmtId="43" fontId="4" fillId="0" borderId="0" xfId="1" applyFont="1" applyBorder="1" applyAlignment="1" applyProtection="1"/>
    <xf numFmtId="43" fontId="4" fillId="0" borderId="13" xfId="1" applyFont="1" applyBorder="1" applyAlignment="1" applyProtection="1"/>
    <xf numFmtId="43" fontId="0" fillId="0" borderId="0" xfId="1" applyFont="1"/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0" fontId="3" fillId="9" borderId="6" xfId="0" applyFont="1" applyFill="1" applyBorder="1" applyAlignment="1">
      <alignment horizontal="left"/>
    </xf>
    <xf numFmtId="0" fontId="4" fillId="5" borderId="11" xfId="0" applyFont="1" applyFill="1" applyBorder="1" applyAlignment="1" applyProtection="1"/>
    <xf numFmtId="0" fontId="4" fillId="6" borderId="11" xfId="0" applyFont="1" applyFill="1" applyBorder="1" applyAlignment="1" applyProtection="1"/>
    <xf numFmtId="0" fontId="4" fillId="9" borderId="11" xfId="0" applyFont="1" applyFill="1" applyBorder="1" applyAlignment="1" applyProtection="1"/>
    <xf numFmtId="0" fontId="4" fillId="7" borderId="11" xfId="0" applyFont="1" applyFill="1" applyBorder="1" applyAlignment="1" applyProtection="1"/>
    <xf numFmtId="0" fontId="4" fillId="8" borderId="12" xfId="0" applyFont="1" applyFill="1" applyBorder="1" applyAlignment="1" applyProtection="1"/>
    <xf numFmtId="0" fontId="3" fillId="2" borderId="15" xfId="0" applyFont="1" applyFill="1" applyBorder="1" applyAlignment="1">
      <alignment horizontal="left" wrapText="1"/>
    </xf>
    <xf numFmtId="43" fontId="0" fillId="0" borderId="0" xfId="1" applyFont="1" applyAlignment="1">
      <alignment horizontal="center"/>
    </xf>
    <xf numFmtId="1" fontId="0" fillId="0" borderId="0" xfId="0" applyNumberFormat="1"/>
    <xf numFmtId="0" fontId="6" fillId="0" borderId="0" xfId="0" applyFont="1"/>
    <xf numFmtId="165" fontId="0" fillId="0" borderId="0" xfId="1" applyNumberFormat="1" applyFont="1"/>
    <xf numFmtId="0" fontId="2" fillId="2" borderId="0" xfId="0" applyFont="1" applyFill="1" applyAlignment="1">
      <alignment horizontal="center" wrapText="1"/>
    </xf>
    <xf numFmtId="0" fontId="4" fillId="0" borderId="11" xfId="0" applyFont="1" applyFill="1" applyBorder="1" applyAlignment="1" applyProtection="1"/>
    <xf numFmtId="0" fontId="2" fillId="2" borderId="14" xfId="0" applyFont="1" applyFill="1" applyBorder="1" applyAlignment="1">
      <alignment wrapText="1"/>
    </xf>
    <xf numFmtId="0" fontId="4" fillId="0" borderId="19" xfId="0" applyFont="1" applyBorder="1" applyAlignment="1" applyProtection="1"/>
    <xf numFmtId="0" fontId="4" fillId="0" borderId="20" xfId="0" applyFont="1" applyBorder="1" applyAlignment="1" applyProtection="1"/>
    <xf numFmtId="164" fontId="4" fillId="0" borderId="21" xfId="2" applyNumberFormat="1" applyFont="1" applyBorder="1" applyAlignment="1" applyProtection="1"/>
    <xf numFmtId="0" fontId="4" fillId="0" borderId="22" xfId="0" applyFont="1" applyBorder="1" applyAlignment="1" applyProtection="1"/>
    <xf numFmtId="164" fontId="4" fillId="0" borderId="23" xfId="2" applyNumberFormat="1" applyFont="1" applyBorder="1" applyAlignment="1" applyProtection="1"/>
    <xf numFmtId="0" fontId="4" fillId="0" borderId="24" xfId="0" applyFont="1" applyBorder="1" applyAlignment="1" applyProtection="1"/>
    <xf numFmtId="164" fontId="4" fillId="0" borderId="25" xfId="2" applyNumberFormat="1" applyFont="1" applyBorder="1" applyAlignment="1" applyProtection="1"/>
    <xf numFmtId="0" fontId="4" fillId="0" borderId="0" xfId="0" applyFont="1" applyBorder="1" applyAlignment="1" applyProtection="1"/>
    <xf numFmtId="9" fontId="0" fillId="0" borderId="0" xfId="2" applyFont="1"/>
    <xf numFmtId="0" fontId="0" fillId="5" borderId="0" xfId="0" applyFill="1"/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8" borderId="0" xfId="0" applyFill="1"/>
    <xf numFmtId="0" fontId="2" fillId="5" borderId="6" xfId="0" applyFont="1" applyFill="1" applyBorder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43" fontId="8" fillId="0" borderId="12" xfId="1" applyFont="1" applyBorder="1" applyAlignment="1" applyProtection="1"/>
    <xf numFmtId="10" fontId="0" fillId="0" borderId="0" xfId="2" applyNumberFormat="1" applyFont="1"/>
    <xf numFmtId="0" fontId="2" fillId="2" borderId="10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 wrapText="1"/>
    </xf>
    <xf numFmtId="0" fontId="9" fillId="0" borderId="0" xfId="0" applyFont="1"/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3" fillId="5" borderId="0" xfId="0" applyFont="1" applyFill="1"/>
    <xf numFmtId="1" fontId="0" fillId="5" borderId="0" xfId="0" applyNumberFormat="1" applyFill="1"/>
    <xf numFmtId="0" fontId="2" fillId="2" borderId="0" xfId="0" applyFont="1" applyFill="1" applyAlignment="1">
      <alignment horizontal="right" wrapText="1"/>
    </xf>
    <xf numFmtId="164" fontId="0" fillId="11" borderId="0" xfId="2" applyNumberFormat="1" applyFont="1" applyFill="1"/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0" fillId="2" borderId="26" xfId="0" applyFill="1" applyBorder="1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left" vertical="center" wrapText="1"/>
    </xf>
    <xf numFmtId="4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0" fontId="0" fillId="2" borderId="10" xfId="0" applyFill="1" applyBorder="1"/>
    <xf numFmtId="0" fontId="3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/>
    <xf numFmtId="0" fontId="2" fillId="2" borderId="0" xfId="0" applyFont="1" applyFill="1" applyBorder="1" applyAlignment="1"/>
    <xf numFmtId="49" fontId="0" fillId="12" borderId="28" xfId="0" applyNumberFormat="1" applyFont="1" applyFill="1" applyBorder="1"/>
    <xf numFmtId="0" fontId="0" fillId="12" borderId="28" xfId="0" applyFont="1" applyFill="1" applyBorder="1"/>
    <xf numFmtId="49" fontId="0" fillId="0" borderId="28" xfId="0" applyNumberFormat="1" applyFont="1" applyBorder="1"/>
    <xf numFmtId="0" fontId="0" fillId="0" borderId="28" xfId="0" applyFont="1" applyBorder="1"/>
    <xf numFmtId="0" fontId="12" fillId="13" borderId="28" xfId="0" applyFont="1" applyFill="1" applyBorder="1"/>
    <xf numFmtId="49" fontId="13" fillId="12" borderId="28" xfId="0" applyNumberFormat="1" applyFont="1" applyFill="1" applyBorder="1"/>
    <xf numFmtId="49" fontId="0" fillId="12" borderId="28" xfId="0" applyNumberFormat="1" applyFont="1" applyFill="1" applyBorder="1" applyAlignment="1">
      <alignment horizontal="left" indent="1"/>
    </xf>
    <xf numFmtId="49" fontId="0" fillId="12" borderId="28" xfId="0" applyNumberFormat="1" applyFont="1" applyFill="1" applyBorder="1" applyAlignment="1">
      <alignment horizontal="left" indent="2"/>
    </xf>
    <xf numFmtId="0" fontId="13" fillId="0" borderId="0" xfId="0" applyFont="1"/>
    <xf numFmtId="0" fontId="0" fillId="14" borderId="0" xfId="0" applyFill="1" applyAlignment="1">
      <alignment horizontal="left" indent="2"/>
    </xf>
    <xf numFmtId="0" fontId="0" fillId="14" borderId="0" xfId="0" applyFill="1" applyAlignment="1">
      <alignment horizontal="left" indent="1"/>
    </xf>
    <xf numFmtId="0" fontId="13" fillId="14" borderId="0" xfId="0" applyFont="1" applyFill="1"/>
    <xf numFmtId="166" fontId="13" fillId="0" borderId="0" xfId="0" applyNumberFormat="1" applyFont="1"/>
    <xf numFmtId="49" fontId="13" fillId="12" borderId="33" xfId="0" applyNumberFormat="1" applyFont="1" applyFill="1" applyBorder="1"/>
    <xf numFmtId="0" fontId="13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0" fillId="14" borderId="0" xfId="0" applyFill="1"/>
    <xf numFmtId="0" fontId="13" fillId="14" borderId="0" xfId="0" applyFont="1" applyFill="1" applyAlignment="1">
      <alignment horizontal="left" indent="1"/>
    </xf>
    <xf numFmtId="167" fontId="0" fillId="0" borderId="0" xfId="0" applyNumberFormat="1"/>
    <xf numFmtId="0" fontId="13" fillId="14" borderId="0" xfId="0" applyFont="1" applyFill="1" applyAlignment="1">
      <alignment horizontal="left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11" xfId="0" applyBorder="1"/>
    <xf numFmtId="2" fontId="0" fillId="0" borderId="36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36" xfId="0" applyBorder="1"/>
    <xf numFmtId="0" fontId="0" fillId="0" borderId="30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3" fillId="0" borderId="30" xfId="0" applyFont="1" applyBorder="1"/>
    <xf numFmtId="166" fontId="0" fillId="0" borderId="30" xfId="0" applyNumberFormat="1" applyBorder="1" applyAlignment="1">
      <alignment horizontal="center"/>
    </xf>
    <xf numFmtId="167" fontId="0" fillId="0" borderId="32" xfId="0" applyNumberFormat="1" applyBorder="1"/>
    <xf numFmtId="0" fontId="0" fillId="0" borderId="31" xfId="0" applyBorder="1"/>
    <xf numFmtId="0" fontId="0" fillId="0" borderId="36" xfId="0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0" fontId="0" fillId="15" borderId="0" xfId="0" applyFill="1"/>
    <xf numFmtId="168" fontId="0" fillId="0" borderId="0" xfId="2" applyNumberFormat="1" applyFont="1"/>
    <xf numFmtId="168" fontId="0" fillId="0" borderId="0" xfId="0" applyNumberFormat="1"/>
    <xf numFmtId="10" fontId="0" fillId="0" borderId="0" xfId="0" applyNumberFormat="1"/>
    <xf numFmtId="2" fontId="0" fillId="0" borderId="3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4" fontId="0" fillId="0" borderId="0" xfId="3" applyFont="1"/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13" fillId="0" borderId="3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17" fontId="13" fillId="0" borderId="34" xfId="0" applyNumberFormat="1" applyFont="1" applyBorder="1" applyAlignment="1">
      <alignment horizontal="center" vertical="center"/>
    </xf>
    <xf numFmtId="17" fontId="13" fillId="0" borderId="35" xfId="0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6" tint="0.59999389629810485"/>
  </sheetPr>
  <dimension ref="A1:K172"/>
  <sheetViews>
    <sheetView topLeftCell="A133" workbookViewId="0">
      <selection activeCell="J154" sqref="J154"/>
    </sheetView>
  </sheetViews>
  <sheetFormatPr baseColWidth="10" defaultRowHeight="15" x14ac:dyDescent="0.25"/>
  <cols>
    <col min="1" max="1" width="75.28515625" bestFit="1" customWidth="1"/>
    <col min="2" max="2" width="14.5703125" bestFit="1" customWidth="1"/>
    <col min="3" max="3" width="10" bestFit="1" customWidth="1"/>
    <col min="4" max="4" width="38.5703125" bestFit="1" customWidth="1"/>
    <col min="5" max="5" width="11.5703125" bestFit="1" customWidth="1"/>
    <col min="6" max="6" width="6.7109375" bestFit="1" customWidth="1"/>
    <col min="7" max="7" width="11.5703125" bestFit="1" customWidth="1"/>
    <col min="8" max="8" width="20.140625" bestFit="1" customWidth="1"/>
    <col min="9" max="9" width="16.28515625" bestFit="1" customWidth="1"/>
    <col min="10" max="10" width="20.140625" bestFit="1" customWidth="1"/>
    <col min="11" max="11" width="16.28515625" bestFit="1" customWidth="1"/>
  </cols>
  <sheetData>
    <row r="1" spans="1:11" x14ac:dyDescent="0.25">
      <c r="A1" s="141" t="s">
        <v>253</v>
      </c>
      <c r="B1" s="141" t="s">
        <v>254</v>
      </c>
      <c r="C1" s="141" t="s">
        <v>255</v>
      </c>
      <c r="D1" s="141" t="s">
        <v>256</v>
      </c>
      <c r="E1" s="141" t="s">
        <v>257</v>
      </c>
      <c r="F1" s="141" t="s">
        <v>258</v>
      </c>
      <c r="G1" s="141" t="s">
        <v>259</v>
      </c>
      <c r="H1" s="141" t="s">
        <v>260</v>
      </c>
      <c r="I1" s="141" t="s">
        <v>261</v>
      </c>
      <c r="J1" s="141" t="s">
        <v>262</v>
      </c>
      <c r="K1" s="141" t="s">
        <v>263</v>
      </c>
    </row>
    <row r="2" spans="1:11" x14ac:dyDescent="0.25">
      <c r="A2" s="137" t="s">
        <v>264</v>
      </c>
      <c r="B2" s="137" t="s">
        <v>365</v>
      </c>
      <c r="C2" s="138">
        <v>1</v>
      </c>
      <c r="D2" s="137" t="s">
        <v>1</v>
      </c>
      <c r="E2" s="138">
        <v>98000000</v>
      </c>
      <c r="F2" s="137" t="s">
        <v>265</v>
      </c>
      <c r="G2" s="137" t="s">
        <v>131</v>
      </c>
      <c r="H2" s="138">
        <v>5987.9</v>
      </c>
      <c r="I2" s="138">
        <v>90.81</v>
      </c>
      <c r="J2" s="138">
        <v>31607.65</v>
      </c>
      <c r="K2" s="138">
        <v>88.86</v>
      </c>
    </row>
    <row r="3" spans="1:11" x14ac:dyDescent="0.25">
      <c r="A3" s="139" t="s">
        <v>264</v>
      </c>
      <c r="B3" s="139" t="s">
        <v>365</v>
      </c>
      <c r="C3" s="140">
        <v>1</v>
      </c>
      <c r="D3" s="139" t="s">
        <v>1</v>
      </c>
      <c r="E3" s="140">
        <v>76240079</v>
      </c>
      <c r="F3" s="139" t="s">
        <v>266</v>
      </c>
      <c r="G3" s="139" t="s">
        <v>132</v>
      </c>
      <c r="H3" s="140">
        <v>8917.01</v>
      </c>
      <c r="I3" s="140">
        <v>88.15</v>
      </c>
      <c r="J3" s="140">
        <v>31607.65</v>
      </c>
      <c r="K3" s="140">
        <v>88.86</v>
      </c>
    </row>
    <row r="4" spans="1:11" x14ac:dyDescent="0.25">
      <c r="A4" s="137" t="s">
        <v>264</v>
      </c>
      <c r="B4" s="137" t="s">
        <v>365</v>
      </c>
      <c r="C4" s="138">
        <v>1</v>
      </c>
      <c r="D4" s="137" t="s">
        <v>1</v>
      </c>
      <c r="E4" s="138">
        <v>98000100</v>
      </c>
      <c r="F4" s="137" t="s">
        <v>267</v>
      </c>
      <c r="G4" s="137" t="s">
        <v>133</v>
      </c>
      <c r="H4" s="138">
        <v>8727.3700000000008</v>
      </c>
      <c r="I4" s="138">
        <v>85.32</v>
      </c>
      <c r="J4" s="138">
        <v>31607.65</v>
      </c>
      <c r="K4" s="138">
        <v>88.86</v>
      </c>
    </row>
    <row r="5" spans="1:11" x14ac:dyDescent="0.25">
      <c r="A5" s="139" t="s">
        <v>264</v>
      </c>
      <c r="B5" s="139" t="s">
        <v>365</v>
      </c>
      <c r="C5" s="140">
        <v>1</v>
      </c>
      <c r="D5" s="139" t="s">
        <v>1</v>
      </c>
      <c r="E5" s="140">
        <v>76762250</v>
      </c>
      <c r="F5" s="139" t="s">
        <v>268</v>
      </c>
      <c r="G5" s="139" t="s">
        <v>134</v>
      </c>
      <c r="H5" s="140">
        <v>824.46</v>
      </c>
      <c r="I5" s="140">
        <v>87.13</v>
      </c>
      <c r="J5" s="140">
        <v>31607.65</v>
      </c>
      <c r="K5" s="140">
        <v>88.86</v>
      </c>
    </row>
    <row r="6" spans="1:11" x14ac:dyDescent="0.25">
      <c r="A6" s="137" t="s">
        <v>264</v>
      </c>
      <c r="B6" s="137" t="s">
        <v>365</v>
      </c>
      <c r="C6" s="138">
        <v>1</v>
      </c>
      <c r="D6" s="137" t="s">
        <v>1</v>
      </c>
      <c r="E6" s="138">
        <v>98001200</v>
      </c>
      <c r="F6" s="137" t="s">
        <v>269</v>
      </c>
      <c r="G6" s="137" t="s">
        <v>135</v>
      </c>
      <c r="H6" s="138">
        <v>903.75</v>
      </c>
      <c r="I6" s="138">
        <v>91.42</v>
      </c>
      <c r="J6" s="138">
        <v>31607.65</v>
      </c>
      <c r="K6" s="138">
        <v>88.86</v>
      </c>
    </row>
    <row r="7" spans="1:11" x14ac:dyDescent="0.25">
      <c r="A7" s="139" t="s">
        <v>264</v>
      </c>
      <c r="B7" s="139" t="s">
        <v>365</v>
      </c>
      <c r="C7" s="140">
        <v>1</v>
      </c>
      <c r="D7" s="139" t="s">
        <v>1</v>
      </c>
      <c r="E7" s="140">
        <v>76265736</v>
      </c>
      <c r="F7" s="139" t="s">
        <v>267</v>
      </c>
      <c r="G7" s="139" t="s">
        <v>136</v>
      </c>
      <c r="H7" s="140">
        <v>6247.16</v>
      </c>
      <c r="I7" s="140">
        <v>93.32</v>
      </c>
      <c r="J7" s="140">
        <v>31607.65</v>
      </c>
      <c r="K7" s="140">
        <v>88.86</v>
      </c>
    </row>
    <row r="8" spans="1:11" x14ac:dyDescent="0.25">
      <c r="A8" s="137" t="s">
        <v>264</v>
      </c>
      <c r="B8" s="137" t="s">
        <v>365</v>
      </c>
      <c r="C8" s="138">
        <v>2</v>
      </c>
      <c r="D8" s="137" t="s">
        <v>270</v>
      </c>
      <c r="E8" s="138">
        <v>98000000</v>
      </c>
      <c r="F8" s="137" t="s">
        <v>265</v>
      </c>
      <c r="G8" s="137" t="s">
        <v>131</v>
      </c>
      <c r="H8" s="138">
        <v>82.77</v>
      </c>
      <c r="I8" s="138">
        <v>1.26</v>
      </c>
      <c r="J8" s="138">
        <v>395.64</v>
      </c>
      <c r="K8" s="138">
        <v>1.1100000000000001</v>
      </c>
    </row>
    <row r="9" spans="1:11" x14ac:dyDescent="0.25">
      <c r="A9" s="139" t="s">
        <v>264</v>
      </c>
      <c r="B9" s="139" t="s">
        <v>365</v>
      </c>
      <c r="C9" s="140">
        <v>2</v>
      </c>
      <c r="D9" s="139" t="s">
        <v>270</v>
      </c>
      <c r="E9" s="140">
        <v>76240079</v>
      </c>
      <c r="F9" s="139" t="s">
        <v>266</v>
      </c>
      <c r="G9" s="139" t="s">
        <v>132</v>
      </c>
      <c r="H9" s="140">
        <v>104.99</v>
      </c>
      <c r="I9" s="140">
        <v>1.04</v>
      </c>
      <c r="J9" s="140">
        <v>395.64</v>
      </c>
      <c r="K9" s="140">
        <v>1.1100000000000001</v>
      </c>
    </row>
    <row r="10" spans="1:11" x14ac:dyDescent="0.25">
      <c r="A10" s="137" t="s">
        <v>264</v>
      </c>
      <c r="B10" s="137" t="s">
        <v>365</v>
      </c>
      <c r="C10" s="138">
        <v>2</v>
      </c>
      <c r="D10" s="137" t="s">
        <v>270</v>
      </c>
      <c r="E10" s="138">
        <v>98000100</v>
      </c>
      <c r="F10" s="137" t="s">
        <v>267</v>
      </c>
      <c r="G10" s="137" t="s">
        <v>133</v>
      </c>
      <c r="H10" s="138">
        <v>114.5</v>
      </c>
      <c r="I10" s="138">
        <v>1.1200000000000001</v>
      </c>
      <c r="J10" s="138">
        <v>395.64</v>
      </c>
      <c r="K10" s="138">
        <v>1.1100000000000001</v>
      </c>
    </row>
    <row r="11" spans="1:11" x14ac:dyDescent="0.25">
      <c r="A11" s="139" t="s">
        <v>264</v>
      </c>
      <c r="B11" s="139" t="s">
        <v>365</v>
      </c>
      <c r="C11" s="140">
        <v>2</v>
      </c>
      <c r="D11" s="139" t="s">
        <v>270</v>
      </c>
      <c r="E11" s="140">
        <v>76762250</v>
      </c>
      <c r="F11" s="139" t="s">
        <v>268</v>
      </c>
      <c r="G11" s="139" t="s">
        <v>134</v>
      </c>
      <c r="H11" s="140">
        <v>10.32</v>
      </c>
      <c r="I11" s="140">
        <v>1.0900000000000001</v>
      </c>
      <c r="J11" s="140">
        <v>395.64</v>
      </c>
      <c r="K11" s="140">
        <v>1.1100000000000001</v>
      </c>
    </row>
    <row r="12" spans="1:11" x14ac:dyDescent="0.25">
      <c r="A12" s="137" t="s">
        <v>264</v>
      </c>
      <c r="B12" s="137" t="s">
        <v>365</v>
      </c>
      <c r="C12" s="138">
        <v>2</v>
      </c>
      <c r="D12" s="137" t="s">
        <v>270</v>
      </c>
      <c r="E12" s="138">
        <v>98001200</v>
      </c>
      <c r="F12" s="137" t="s">
        <v>269</v>
      </c>
      <c r="G12" s="137" t="s">
        <v>135</v>
      </c>
      <c r="H12" s="138">
        <v>9.07</v>
      </c>
      <c r="I12" s="138">
        <v>0.92</v>
      </c>
      <c r="J12" s="138">
        <v>395.64</v>
      </c>
      <c r="K12" s="138">
        <v>1.1100000000000001</v>
      </c>
    </row>
    <row r="13" spans="1:11" x14ac:dyDescent="0.25">
      <c r="A13" s="139" t="s">
        <v>264</v>
      </c>
      <c r="B13" s="139" t="s">
        <v>365</v>
      </c>
      <c r="C13" s="140">
        <v>2</v>
      </c>
      <c r="D13" s="139" t="s">
        <v>270</v>
      </c>
      <c r="E13" s="140">
        <v>76265736</v>
      </c>
      <c r="F13" s="139" t="s">
        <v>267</v>
      </c>
      <c r="G13" s="139" t="s">
        <v>136</v>
      </c>
      <c r="H13" s="140">
        <v>73.98</v>
      </c>
      <c r="I13" s="140">
        <v>1.1100000000000001</v>
      </c>
      <c r="J13" s="140">
        <v>395.64</v>
      </c>
      <c r="K13" s="140">
        <v>1.1100000000000001</v>
      </c>
    </row>
    <row r="14" spans="1:11" x14ac:dyDescent="0.25">
      <c r="A14" s="137" t="s">
        <v>264</v>
      </c>
      <c r="B14" s="137" t="s">
        <v>365</v>
      </c>
      <c r="C14" s="138">
        <v>3</v>
      </c>
      <c r="D14" s="137" t="s">
        <v>25</v>
      </c>
      <c r="E14" s="138">
        <v>98000000</v>
      </c>
      <c r="F14" s="137" t="s">
        <v>265</v>
      </c>
      <c r="G14" s="137" t="s">
        <v>131</v>
      </c>
      <c r="H14" s="138">
        <v>81.239999999999995</v>
      </c>
      <c r="I14" s="138">
        <v>1.23</v>
      </c>
      <c r="J14" s="138">
        <v>394.11</v>
      </c>
      <c r="K14" s="138">
        <v>1.1100000000000001</v>
      </c>
    </row>
    <row r="15" spans="1:11" x14ac:dyDescent="0.25">
      <c r="A15" s="139" t="s">
        <v>264</v>
      </c>
      <c r="B15" s="139" t="s">
        <v>365</v>
      </c>
      <c r="C15" s="140">
        <v>3</v>
      </c>
      <c r="D15" s="139" t="s">
        <v>25</v>
      </c>
      <c r="E15" s="140">
        <v>76240079</v>
      </c>
      <c r="F15" s="139" t="s">
        <v>266</v>
      </c>
      <c r="G15" s="139" t="s">
        <v>132</v>
      </c>
      <c r="H15" s="140">
        <v>104.99</v>
      </c>
      <c r="I15" s="140">
        <v>1.04</v>
      </c>
      <c r="J15" s="140">
        <v>394.11</v>
      </c>
      <c r="K15" s="140">
        <v>1.1100000000000001</v>
      </c>
    </row>
    <row r="16" spans="1:11" x14ac:dyDescent="0.25">
      <c r="A16" s="137" t="s">
        <v>264</v>
      </c>
      <c r="B16" s="137" t="s">
        <v>365</v>
      </c>
      <c r="C16" s="138">
        <v>3</v>
      </c>
      <c r="D16" s="137" t="s">
        <v>25</v>
      </c>
      <c r="E16" s="138">
        <v>98000100</v>
      </c>
      <c r="F16" s="137" t="s">
        <v>267</v>
      </c>
      <c r="G16" s="137" t="s">
        <v>133</v>
      </c>
      <c r="H16" s="138">
        <v>114.5</v>
      </c>
      <c r="I16" s="138">
        <v>1.1200000000000001</v>
      </c>
      <c r="J16" s="138">
        <v>394.11</v>
      </c>
      <c r="K16" s="138">
        <v>1.1100000000000001</v>
      </c>
    </row>
    <row r="17" spans="1:11" x14ac:dyDescent="0.25">
      <c r="A17" s="139" t="s">
        <v>264</v>
      </c>
      <c r="B17" s="139" t="s">
        <v>365</v>
      </c>
      <c r="C17" s="140">
        <v>3</v>
      </c>
      <c r="D17" s="139" t="s">
        <v>25</v>
      </c>
      <c r="E17" s="140">
        <v>76762250</v>
      </c>
      <c r="F17" s="139" t="s">
        <v>268</v>
      </c>
      <c r="G17" s="139" t="s">
        <v>134</v>
      </c>
      <c r="H17" s="140">
        <v>10.32</v>
      </c>
      <c r="I17" s="140">
        <v>1.0900000000000001</v>
      </c>
      <c r="J17" s="140">
        <v>394.11</v>
      </c>
      <c r="K17" s="140">
        <v>1.1100000000000001</v>
      </c>
    </row>
    <row r="18" spans="1:11" x14ac:dyDescent="0.25">
      <c r="A18" s="137" t="s">
        <v>264</v>
      </c>
      <c r="B18" s="137" t="s">
        <v>365</v>
      </c>
      <c r="C18" s="138">
        <v>3</v>
      </c>
      <c r="D18" s="137" t="s">
        <v>25</v>
      </c>
      <c r="E18" s="138">
        <v>98001200</v>
      </c>
      <c r="F18" s="137" t="s">
        <v>269</v>
      </c>
      <c r="G18" s="137" t="s">
        <v>135</v>
      </c>
      <c r="H18" s="138">
        <v>9.07</v>
      </c>
      <c r="I18" s="138">
        <v>0.92</v>
      </c>
      <c r="J18" s="138">
        <v>394.11</v>
      </c>
      <c r="K18" s="138">
        <v>1.1100000000000001</v>
      </c>
    </row>
    <row r="19" spans="1:11" x14ac:dyDescent="0.25">
      <c r="A19" s="139" t="s">
        <v>264</v>
      </c>
      <c r="B19" s="139" t="s">
        <v>365</v>
      </c>
      <c r="C19" s="140">
        <v>3</v>
      </c>
      <c r="D19" s="139" t="s">
        <v>25</v>
      </c>
      <c r="E19" s="140">
        <v>76265736</v>
      </c>
      <c r="F19" s="139" t="s">
        <v>267</v>
      </c>
      <c r="G19" s="139" t="s">
        <v>136</v>
      </c>
      <c r="H19" s="140">
        <v>73.98</v>
      </c>
      <c r="I19" s="140">
        <v>1.1100000000000001</v>
      </c>
      <c r="J19" s="140">
        <v>394.11</v>
      </c>
      <c r="K19" s="140">
        <v>1.1100000000000001</v>
      </c>
    </row>
    <row r="20" spans="1:11" x14ac:dyDescent="0.25">
      <c r="A20" s="137" t="s">
        <v>264</v>
      </c>
      <c r="B20" s="137" t="s">
        <v>365</v>
      </c>
      <c r="C20" s="138">
        <v>4</v>
      </c>
      <c r="D20" s="137" t="s">
        <v>271</v>
      </c>
      <c r="E20" s="138">
        <v>98000000</v>
      </c>
      <c r="F20" s="137" t="s">
        <v>265</v>
      </c>
      <c r="G20" s="137" t="s">
        <v>131</v>
      </c>
      <c r="H20" s="138">
        <v>1.53</v>
      </c>
      <c r="I20" s="138">
        <v>0.02</v>
      </c>
      <c r="J20" s="138">
        <v>1.53</v>
      </c>
      <c r="K20" s="138">
        <v>0</v>
      </c>
    </row>
    <row r="21" spans="1:11" x14ac:dyDescent="0.25">
      <c r="A21" s="139" t="s">
        <v>264</v>
      </c>
      <c r="B21" s="139" t="s">
        <v>365</v>
      </c>
      <c r="C21" s="140">
        <v>4</v>
      </c>
      <c r="D21" s="139" t="s">
        <v>271</v>
      </c>
      <c r="E21" s="140">
        <v>76240079</v>
      </c>
      <c r="F21" s="139" t="s">
        <v>266</v>
      </c>
      <c r="G21" s="139" t="s">
        <v>132</v>
      </c>
      <c r="H21" s="140"/>
      <c r="I21" s="140"/>
      <c r="J21" s="140">
        <v>1.53</v>
      </c>
      <c r="K21" s="140">
        <v>0</v>
      </c>
    </row>
    <row r="22" spans="1:11" x14ac:dyDescent="0.25">
      <c r="A22" s="137" t="s">
        <v>264</v>
      </c>
      <c r="B22" s="137" t="s">
        <v>365</v>
      </c>
      <c r="C22" s="138">
        <v>4</v>
      </c>
      <c r="D22" s="137" t="s">
        <v>271</v>
      </c>
      <c r="E22" s="138">
        <v>98000100</v>
      </c>
      <c r="F22" s="137" t="s">
        <v>267</v>
      </c>
      <c r="G22" s="137" t="s">
        <v>133</v>
      </c>
      <c r="H22" s="138"/>
      <c r="I22" s="138"/>
      <c r="J22" s="138">
        <v>1.53</v>
      </c>
      <c r="K22" s="138">
        <v>0</v>
      </c>
    </row>
    <row r="23" spans="1:11" x14ac:dyDescent="0.25">
      <c r="A23" s="139" t="s">
        <v>264</v>
      </c>
      <c r="B23" s="139" t="s">
        <v>365</v>
      </c>
      <c r="C23" s="140">
        <v>4</v>
      </c>
      <c r="D23" s="139" t="s">
        <v>271</v>
      </c>
      <c r="E23" s="140">
        <v>76762250</v>
      </c>
      <c r="F23" s="139" t="s">
        <v>268</v>
      </c>
      <c r="G23" s="139" t="s">
        <v>134</v>
      </c>
      <c r="H23" s="140"/>
      <c r="I23" s="140"/>
      <c r="J23" s="140">
        <v>1.53</v>
      </c>
      <c r="K23" s="140">
        <v>0</v>
      </c>
    </row>
    <row r="24" spans="1:11" x14ac:dyDescent="0.25">
      <c r="A24" s="137" t="s">
        <v>264</v>
      </c>
      <c r="B24" s="137" t="s">
        <v>365</v>
      </c>
      <c r="C24" s="138">
        <v>4</v>
      </c>
      <c r="D24" s="137" t="s">
        <v>271</v>
      </c>
      <c r="E24" s="138">
        <v>98001200</v>
      </c>
      <c r="F24" s="137" t="s">
        <v>269</v>
      </c>
      <c r="G24" s="137" t="s">
        <v>135</v>
      </c>
      <c r="H24" s="138"/>
      <c r="I24" s="138"/>
      <c r="J24" s="138">
        <v>1.53</v>
      </c>
      <c r="K24" s="138">
        <v>0</v>
      </c>
    </row>
    <row r="25" spans="1:11" x14ac:dyDescent="0.25">
      <c r="A25" s="139" t="s">
        <v>264</v>
      </c>
      <c r="B25" s="139" t="s">
        <v>365</v>
      </c>
      <c r="C25" s="140">
        <v>4</v>
      </c>
      <c r="D25" s="139" t="s">
        <v>271</v>
      </c>
      <c r="E25" s="140">
        <v>76265736</v>
      </c>
      <c r="F25" s="139" t="s">
        <v>267</v>
      </c>
      <c r="G25" s="139" t="s">
        <v>136</v>
      </c>
      <c r="H25" s="140"/>
      <c r="I25" s="140"/>
      <c r="J25" s="140">
        <v>1.53</v>
      </c>
      <c r="K25" s="140">
        <v>0</v>
      </c>
    </row>
    <row r="26" spans="1:11" x14ac:dyDescent="0.25">
      <c r="A26" s="137" t="s">
        <v>264</v>
      </c>
      <c r="B26" s="137" t="s">
        <v>365</v>
      </c>
      <c r="C26" s="138">
        <v>5</v>
      </c>
      <c r="D26" s="137" t="s">
        <v>272</v>
      </c>
      <c r="E26" s="138">
        <v>98000000</v>
      </c>
      <c r="F26" s="137" t="s">
        <v>265</v>
      </c>
      <c r="G26" s="137" t="s">
        <v>131</v>
      </c>
      <c r="H26" s="138">
        <v>5907.34</v>
      </c>
      <c r="I26" s="138">
        <v>89.59</v>
      </c>
      <c r="J26" s="138">
        <v>31163.32</v>
      </c>
      <c r="K26" s="138">
        <v>87.62</v>
      </c>
    </row>
    <row r="27" spans="1:11" x14ac:dyDescent="0.25">
      <c r="A27" s="139" t="s">
        <v>264</v>
      </c>
      <c r="B27" s="139" t="s">
        <v>365</v>
      </c>
      <c r="C27" s="140">
        <v>5</v>
      </c>
      <c r="D27" s="139" t="s">
        <v>272</v>
      </c>
      <c r="E27" s="140">
        <v>76240079</v>
      </c>
      <c r="F27" s="139" t="s">
        <v>266</v>
      </c>
      <c r="G27" s="139" t="s">
        <v>132</v>
      </c>
      <c r="H27" s="140">
        <v>8789.5300000000007</v>
      </c>
      <c r="I27" s="140">
        <v>86.88</v>
      </c>
      <c r="J27" s="140">
        <v>31163.32</v>
      </c>
      <c r="K27" s="140">
        <v>87.62</v>
      </c>
    </row>
    <row r="28" spans="1:11" x14ac:dyDescent="0.25">
      <c r="A28" s="137" t="s">
        <v>264</v>
      </c>
      <c r="B28" s="137" t="s">
        <v>365</v>
      </c>
      <c r="C28" s="138">
        <v>5</v>
      </c>
      <c r="D28" s="137" t="s">
        <v>272</v>
      </c>
      <c r="E28" s="138">
        <v>98000100</v>
      </c>
      <c r="F28" s="137" t="s">
        <v>267</v>
      </c>
      <c r="G28" s="137" t="s">
        <v>133</v>
      </c>
      <c r="H28" s="138">
        <v>8591.58</v>
      </c>
      <c r="I28" s="138">
        <v>83.99</v>
      </c>
      <c r="J28" s="138">
        <v>31163.32</v>
      </c>
      <c r="K28" s="138">
        <v>87.62</v>
      </c>
    </row>
    <row r="29" spans="1:11" x14ac:dyDescent="0.25">
      <c r="A29" s="139" t="s">
        <v>264</v>
      </c>
      <c r="B29" s="139" t="s">
        <v>365</v>
      </c>
      <c r="C29" s="140">
        <v>5</v>
      </c>
      <c r="D29" s="139" t="s">
        <v>272</v>
      </c>
      <c r="E29" s="140">
        <v>76762250</v>
      </c>
      <c r="F29" s="139" t="s">
        <v>268</v>
      </c>
      <c r="G29" s="139" t="s">
        <v>134</v>
      </c>
      <c r="H29" s="140">
        <v>814.96</v>
      </c>
      <c r="I29" s="140">
        <v>86.12</v>
      </c>
      <c r="J29" s="140">
        <v>31163.32</v>
      </c>
      <c r="K29" s="140">
        <v>87.62</v>
      </c>
    </row>
    <row r="30" spans="1:11" x14ac:dyDescent="0.25">
      <c r="A30" s="137" t="s">
        <v>264</v>
      </c>
      <c r="B30" s="137" t="s">
        <v>365</v>
      </c>
      <c r="C30" s="138">
        <v>5</v>
      </c>
      <c r="D30" s="137" t="s">
        <v>272</v>
      </c>
      <c r="E30" s="138">
        <v>98001200</v>
      </c>
      <c r="F30" s="137" t="s">
        <v>269</v>
      </c>
      <c r="G30" s="137" t="s">
        <v>135</v>
      </c>
      <c r="H30" s="138">
        <v>894.03</v>
      </c>
      <c r="I30" s="138">
        <v>90.44</v>
      </c>
      <c r="J30" s="138">
        <v>31163.32</v>
      </c>
      <c r="K30" s="138">
        <v>87.62</v>
      </c>
    </row>
    <row r="31" spans="1:11" x14ac:dyDescent="0.25">
      <c r="A31" s="139" t="s">
        <v>264</v>
      </c>
      <c r="B31" s="139" t="s">
        <v>365</v>
      </c>
      <c r="C31" s="140">
        <v>5</v>
      </c>
      <c r="D31" s="139" t="s">
        <v>272</v>
      </c>
      <c r="E31" s="140">
        <v>76265736</v>
      </c>
      <c r="F31" s="139" t="s">
        <v>267</v>
      </c>
      <c r="G31" s="139" t="s">
        <v>136</v>
      </c>
      <c r="H31" s="140">
        <v>6165.89</v>
      </c>
      <c r="I31" s="140">
        <v>92.11</v>
      </c>
      <c r="J31" s="140">
        <v>31163.32</v>
      </c>
      <c r="K31" s="140">
        <v>87.62</v>
      </c>
    </row>
    <row r="32" spans="1:11" x14ac:dyDescent="0.25">
      <c r="A32" s="137" t="s">
        <v>264</v>
      </c>
      <c r="B32" s="137" t="s">
        <v>365</v>
      </c>
      <c r="C32" s="138">
        <v>6</v>
      </c>
      <c r="D32" s="137" t="s">
        <v>273</v>
      </c>
      <c r="E32" s="138">
        <v>98000000</v>
      </c>
      <c r="F32" s="137" t="s">
        <v>265</v>
      </c>
      <c r="G32" s="137" t="s">
        <v>131</v>
      </c>
      <c r="H32" s="138">
        <v>656.04</v>
      </c>
      <c r="I32" s="138">
        <v>9.9499999999999993</v>
      </c>
      <c r="J32" s="138">
        <v>3674.13</v>
      </c>
      <c r="K32" s="138">
        <v>10.33</v>
      </c>
    </row>
    <row r="33" spans="1:11" x14ac:dyDescent="0.25">
      <c r="A33" s="139" t="s">
        <v>264</v>
      </c>
      <c r="B33" s="139" t="s">
        <v>365</v>
      </c>
      <c r="C33" s="140">
        <v>6</v>
      </c>
      <c r="D33" s="139" t="s">
        <v>273</v>
      </c>
      <c r="E33" s="140">
        <v>76240079</v>
      </c>
      <c r="F33" s="139" t="s">
        <v>266</v>
      </c>
      <c r="G33" s="139" t="s">
        <v>132</v>
      </c>
      <c r="H33" s="140">
        <v>1418.27</v>
      </c>
      <c r="I33" s="140">
        <v>14.02</v>
      </c>
      <c r="J33" s="140">
        <v>3674.13</v>
      </c>
      <c r="K33" s="140">
        <v>10.33</v>
      </c>
    </row>
    <row r="34" spans="1:11" x14ac:dyDescent="0.25">
      <c r="A34" s="137" t="s">
        <v>264</v>
      </c>
      <c r="B34" s="137" t="s">
        <v>365</v>
      </c>
      <c r="C34" s="138">
        <v>6</v>
      </c>
      <c r="D34" s="137" t="s">
        <v>273</v>
      </c>
      <c r="E34" s="138">
        <v>98000100</v>
      </c>
      <c r="F34" s="137" t="s">
        <v>267</v>
      </c>
      <c r="G34" s="137" t="s">
        <v>133</v>
      </c>
      <c r="H34" s="138">
        <v>688.07</v>
      </c>
      <c r="I34" s="138">
        <v>6.73</v>
      </c>
      <c r="J34" s="138">
        <v>3674.13</v>
      </c>
      <c r="K34" s="138">
        <v>10.33</v>
      </c>
    </row>
    <row r="35" spans="1:11" x14ac:dyDescent="0.25">
      <c r="A35" s="139" t="s">
        <v>264</v>
      </c>
      <c r="B35" s="139" t="s">
        <v>365</v>
      </c>
      <c r="C35" s="140">
        <v>6</v>
      </c>
      <c r="D35" s="139" t="s">
        <v>273</v>
      </c>
      <c r="E35" s="140">
        <v>76762250</v>
      </c>
      <c r="F35" s="139" t="s">
        <v>268</v>
      </c>
      <c r="G35" s="139" t="s">
        <v>134</v>
      </c>
      <c r="H35" s="140">
        <v>278.81</v>
      </c>
      <c r="I35" s="140">
        <v>29.46</v>
      </c>
      <c r="J35" s="140">
        <v>3674.13</v>
      </c>
      <c r="K35" s="140">
        <v>10.33</v>
      </c>
    </row>
    <row r="36" spans="1:11" x14ac:dyDescent="0.25">
      <c r="A36" s="137" t="s">
        <v>264</v>
      </c>
      <c r="B36" s="137" t="s">
        <v>365</v>
      </c>
      <c r="C36" s="138">
        <v>6</v>
      </c>
      <c r="D36" s="137" t="s">
        <v>273</v>
      </c>
      <c r="E36" s="138">
        <v>98001200</v>
      </c>
      <c r="F36" s="137" t="s">
        <v>269</v>
      </c>
      <c r="G36" s="137" t="s">
        <v>135</v>
      </c>
      <c r="H36" s="138">
        <v>72.489999999999995</v>
      </c>
      <c r="I36" s="138">
        <v>7.33</v>
      </c>
      <c r="J36" s="138">
        <v>3674.13</v>
      </c>
      <c r="K36" s="138">
        <v>10.33</v>
      </c>
    </row>
    <row r="37" spans="1:11" x14ac:dyDescent="0.25">
      <c r="A37" s="139" t="s">
        <v>264</v>
      </c>
      <c r="B37" s="139" t="s">
        <v>365</v>
      </c>
      <c r="C37" s="140">
        <v>6</v>
      </c>
      <c r="D37" s="139" t="s">
        <v>273</v>
      </c>
      <c r="E37" s="140">
        <v>76265736</v>
      </c>
      <c r="F37" s="139" t="s">
        <v>267</v>
      </c>
      <c r="G37" s="139" t="s">
        <v>136</v>
      </c>
      <c r="H37" s="140">
        <v>560.45000000000005</v>
      </c>
      <c r="I37" s="140">
        <v>8.3699999999999992</v>
      </c>
      <c r="J37" s="140">
        <v>3674.13</v>
      </c>
      <c r="K37" s="140">
        <v>10.33</v>
      </c>
    </row>
    <row r="38" spans="1:11" x14ac:dyDescent="0.25">
      <c r="A38" s="137" t="s">
        <v>264</v>
      </c>
      <c r="B38" s="137" t="s">
        <v>365</v>
      </c>
      <c r="C38" s="138">
        <v>7</v>
      </c>
      <c r="D38" s="137" t="s">
        <v>274</v>
      </c>
      <c r="E38" s="138">
        <v>98000000</v>
      </c>
      <c r="F38" s="137" t="s">
        <v>265</v>
      </c>
      <c r="G38" s="137" t="s">
        <v>131</v>
      </c>
      <c r="H38" s="138">
        <v>2158.5</v>
      </c>
      <c r="I38" s="138">
        <v>32.74</v>
      </c>
      <c r="J38" s="138">
        <v>11374.12</v>
      </c>
      <c r="K38" s="138">
        <v>31.98</v>
      </c>
    </row>
    <row r="39" spans="1:11" x14ac:dyDescent="0.25">
      <c r="A39" s="139" t="s">
        <v>264</v>
      </c>
      <c r="B39" s="139" t="s">
        <v>365</v>
      </c>
      <c r="C39" s="140">
        <v>7</v>
      </c>
      <c r="D39" s="139" t="s">
        <v>274</v>
      </c>
      <c r="E39" s="140">
        <v>76240079</v>
      </c>
      <c r="F39" s="139" t="s">
        <v>266</v>
      </c>
      <c r="G39" s="139" t="s">
        <v>132</v>
      </c>
      <c r="H39" s="140">
        <v>3185.47</v>
      </c>
      <c r="I39" s="140">
        <v>31.49</v>
      </c>
      <c r="J39" s="140">
        <v>11374.12</v>
      </c>
      <c r="K39" s="140">
        <v>31.98</v>
      </c>
    </row>
    <row r="40" spans="1:11" x14ac:dyDescent="0.25">
      <c r="A40" s="137" t="s">
        <v>264</v>
      </c>
      <c r="B40" s="137" t="s">
        <v>365</v>
      </c>
      <c r="C40" s="138">
        <v>7</v>
      </c>
      <c r="D40" s="137" t="s">
        <v>274</v>
      </c>
      <c r="E40" s="138">
        <v>98000100</v>
      </c>
      <c r="F40" s="137" t="s">
        <v>267</v>
      </c>
      <c r="G40" s="137" t="s">
        <v>133</v>
      </c>
      <c r="H40" s="138">
        <v>2829.17</v>
      </c>
      <c r="I40" s="138">
        <v>27.66</v>
      </c>
      <c r="J40" s="138">
        <v>11374.12</v>
      </c>
      <c r="K40" s="138">
        <v>31.98</v>
      </c>
    </row>
    <row r="41" spans="1:11" x14ac:dyDescent="0.25">
      <c r="A41" s="139" t="s">
        <v>264</v>
      </c>
      <c r="B41" s="139" t="s">
        <v>365</v>
      </c>
      <c r="C41" s="140">
        <v>7</v>
      </c>
      <c r="D41" s="139" t="s">
        <v>274</v>
      </c>
      <c r="E41" s="140">
        <v>76762250</v>
      </c>
      <c r="F41" s="139" t="s">
        <v>268</v>
      </c>
      <c r="G41" s="139" t="s">
        <v>134</v>
      </c>
      <c r="H41" s="140">
        <v>228.85</v>
      </c>
      <c r="I41" s="140">
        <v>24.18</v>
      </c>
      <c r="J41" s="140">
        <v>11374.12</v>
      </c>
      <c r="K41" s="140">
        <v>31.98</v>
      </c>
    </row>
    <row r="42" spans="1:11" x14ac:dyDescent="0.25">
      <c r="A42" s="137" t="s">
        <v>264</v>
      </c>
      <c r="B42" s="137" t="s">
        <v>365</v>
      </c>
      <c r="C42" s="138">
        <v>7</v>
      </c>
      <c r="D42" s="137" t="s">
        <v>274</v>
      </c>
      <c r="E42" s="138">
        <v>98001200</v>
      </c>
      <c r="F42" s="137" t="s">
        <v>269</v>
      </c>
      <c r="G42" s="137" t="s">
        <v>135</v>
      </c>
      <c r="H42" s="138">
        <v>325.01</v>
      </c>
      <c r="I42" s="138">
        <v>32.880000000000003</v>
      </c>
      <c r="J42" s="138">
        <v>11374.12</v>
      </c>
      <c r="K42" s="138">
        <v>31.98</v>
      </c>
    </row>
    <row r="43" spans="1:11" x14ac:dyDescent="0.25">
      <c r="A43" s="139" t="s">
        <v>264</v>
      </c>
      <c r="B43" s="139" t="s">
        <v>365</v>
      </c>
      <c r="C43" s="140">
        <v>7</v>
      </c>
      <c r="D43" s="139" t="s">
        <v>274</v>
      </c>
      <c r="E43" s="140">
        <v>76265736</v>
      </c>
      <c r="F43" s="139" t="s">
        <v>267</v>
      </c>
      <c r="G43" s="139" t="s">
        <v>136</v>
      </c>
      <c r="H43" s="140">
        <v>2647.12</v>
      </c>
      <c r="I43" s="140">
        <v>39.54</v>
      </c>
      <c r="J43" s="140">
        <v>11374.12</v>
      </c>
      <c r="K43" s="140">
        <v>31.98</v>
      </c>
    </row>
    <row r="44" spans="1:11" x14ac:dyDescent="0.25">
      <c r="A44" s="137" t="s">
        <v>264</v>
      </c>
      <c r="B44" s="137" t="s">
        <v>365</v>
      </c>
      <c r="C44" s="138">
        <v>8</v>
      </c>
      <c r="D44" s="137" t="s">
        <v>275</v>
      </c>
      <c r="E44" s="138">
        <v>98000000</v>
      </c>
      <c r="F44" s="137" t="s">
        <v>265</v>
      </c>
      <c r="G44" s="137" t="s">
        <v>131</v>
      </c>
      <c r="H44" s="138">
        <v>0.5</v>
      </c>
      <c r="I44" s="138">
        <v>0.01</v>
      </c>
      <c r="J44" s="138">
        <v>58.63</v>
      </c>
      <c r="K44" s="138">
        <v>0.16</v>
      </c>
    </row>
    <row r="45" spans="1:11" x14ac:dyDescent="0.25">
      <c r="A45" s="139" t="s">
        <v>264</v>
      </c>
      <c r="B45" s="139" t="s">
        <v>365</v>
      </c>
      <c r="C45" s="140">
        <v>8</v>
      </c>
      <c r="D45" s="139" t="s">
        <v>275</v>
      </c>
      <c r="E45" s="140">
        <v>76240079</v>
      </c>
      <c r="F45" s="139" t="s">
        <v>266</v>
      </c>
      <c r="G45" s="139" t="s">
        <v>132</v>
      </c>
      <c r="H45" s="140">
        <v>27.1</v>
      </c>
      <c r="I45" s="140">
        <v>0.27</v>
      </c>
      <c r="J45" s="140">
        <v>58.63</v>
      </c>
      <c r="K45" s="140">
        <v>0.16</v>
      </c>
    </row>
    <row r="46" spans="1:11" x14ac:dyDescent="0.25">
      <c r="A46" s="137" t="s">
        <v>264</v>
      </c>
      <c r="B46" s="137" t="s">
        <v>365</v>
      </c>
      <c r="C46" s="138">
        <v>8</v>
      </c>
      <c r="D46" s="137" t="s">
        <v>275</v>
      </c>
      <c r="E46" s="138">
        <v>98000100</v>
      </c>
      <c r="F46" s="137" t="s">
        <v>267</v>
      </c>
      <c r="G46" s="137" t="s">
        <v>133</v>
      </c>
      <c r="H46" s="138"/>
      <c r="I46" s="138"/>
      <c r="J46" s="138">
        <v>58.63</v>
      </c>
      <c r="K46" s="138">
        <v>0.16</v>
      </c>
    </row>
    <row r="47" spans="1:11" x14ac:dyDescent="0.25">
      <c r="A47" s="139" t="s">
        <v>264</v>
      </c>
      <c r="B47" s="139" t="s">
        <v>365</v>
      </c>
      <c r="C47" s="140">
        <v>8</v>
      </c>
      <c r="D47" s="139" t="s">
        <v>275</v>
      </c>
      <c r="E47" s="140">
        <v>76762250</v>
      </c>
      <c r="F47" s="139" t="s">
        <v>268</v>
      </c>
      <c r="G47" s="139" t="s">
        <v>134</v>
      </c>
      <c r="H47" s="140">
        <v>28.22</v>
      </c>
      <c r="I47" s="140">
        <v>2.98</v>
      </c>
      <c r="J47" s="140">
        <v>58.63</v>
      </c>
      <c r="K47" s="140">
        <v>0.16</v>
      </c>
    </row>
    <row r="48" spans="1:11" x14ac:dyDescent="0.25">
      <c r="A48" s="137" t="s">
        <v>264</v>
      </c>
      <c r="B48" s="137" t="s">
        <v>365</v>
      </c>
      <c r="C48" s="138">
        <v>8</v>
      </c>
      <c r="D48" s="137" t="s">
        <v>275</v>
      </c>
      <c r="E48" s="138">
        <v>98001200</v>
      </c>
      <c r="F48" s="137" t="s">
        <v>269</v>
      </c>
      <c r="G48" s="137" t="s">
        <v>135</v>
      </c>
      <c r="H48" s="138">
        <v>0.87</v>
      </c>
      <c r="I48" s="138">
        <v>0.09</v>
      </c>
      <c r="J48" s="138">
        <v>58.63</v>
      </c>
      <c r="K48" s="138">
        <v>0.16</v>
      </c>
    </row>
    <row r="49" spans="1:11" x14ac:dyDescent="0.25">
      <c r="A49" s="139" t="s">
        <v>264</v>
      </c>
      <c r="B49" s="139" t="s">
        <v>365</v>
      </c>
      <c r="C49" s="140">
        <v>8</v>
      </c>
      <c r="D49" s="139" t="s">
        <v>275</v>
      </c>
      <c r="E49" s="140">
        <v>76265736</v>
      </c>
      <c r="F49" s="139" t="s">
        <v>267</v>
      </c>
      <c r="G49" s="139" t="s">
        <v>136</v>
      </c>
      <c r="H49" s="140">
        <v>1.93</v>
      </c>
      <c r="I49" s="140">
        <v>0.03</v>
      </c>
      <c r="J49" s="140">
        <v>58.63</v>
      </c>
      <c r="K49" s="140">
        <v>0.16</v>
      </c>
    </row>
    <row r="50" spans="1:11" x14ac:dyDescent="0.25">
      <c r="A50" s="137" t="s">
        <v>264</v>
      </c>
      <c r="B50" s="137" t="s">
        <v>365</v>
      </c>
      <c r="C50" s="138">
        <v>9</v>
      </c>
      <c r="D50" s="137" t="s">
        <v>276</v>
      </c>
      <c r="E50" s="138">
        <v>98000000</v>
      </c>
      <c r="F50" s="137" t="s">
        <v>265</v>
      </c>
      <c r="G50" s="137" t="s">
        <v>131</v>
      </c>
      <c r="H50" s="138">
        <v>559.55999999999995</v>
      </c>
      <c r="I50" s="138">
        <v>8.49</v>
      </c>
      <c r="J50" s="138">
        <v>2530.2199999999998</v>
      </c>
      <c r="K50" s="138">
        <v>7.11</v>
      </c>
    </row>
    <row r="51" spans="1:11" x14ac:dyDescent="0.25">
      <c r="A51" s="139" t="s">
        <v>264</v>
      </c>
      <c r="B51" s="139" t="s">
        <v>365</v>
      </c>
      <c r="C51" s="140">
        <v>9</v>
      </c>
      <c r="D51" s="139" t="s">
        <v>276</v>
      </c>
      <c r="E51" s="140">
        <v>76240079</v>
      </c>
      <c r="F51" s="139" t="s">
        <v>266</v>
      </c>
      <c r="G51" s="139" t="s">
        <v>132</v>
      </c>
      <c r="H51" s="140">
        <v>595.74</v>
      </c>
      <c r="I51" s="140">
        <v>5.89</v>
      </c>
      <c r="J51" s="140">
        <v>2530.2199999999998</v>
      </c>
      <c r="K51" s="140">
        <v>7.11</v>
      </c>
    </row>
    <row r="52" spans="1:11" x14ac:dyDescent="0.25">
      <c r="A52" s="137" t="s">
        <v>264</v>
      </c>
      <c r="B52" s="137" t="s">
        <v>365</v>
      </c>
      <c r="C52" s="138">
        <v>9</v>
      </c>
      <c r="D52" s="137" t="s">
        <v>276</v>
      </c>
      <c r="E52" s="138">
        <v>98000100</v>
      </c>
      <c r="F52" s="137" t="s">
        <v>267</v>
      </c>
      <c r="G52" s="137" t="s">
        <v>133</v>
      </c>
      <c r="H52" s="138">
        <v>815.72</v>
      </c>
      <c r="I52" s="138">
        <v>7.97</v>
      </c>
      <c r="J52" s="138">
        <v>2530.2199999999998</v>
      </c>
      <c r="K52" s="138">
        <v>7.11</v>
      </c>
    </row>
    <row r="53" spans="1:11" x14ac:dyDescent="0.25">
      <c r="A53" s="139" t="s">
        <v>264</v>
      </c>
      <c r="B53" s="139" t="s">
        <v>365</v>
      </c>
      <c r="C53" s="140">
        <v>9</v>
      </c>
      <c r="D53" s="139" t="s">
        <v>276</v>
      </c>
      <c r="E53" s="140">
        <v>76762250</v>
      </c>
      <c r="F53" s="139" t="s">
        <v>268</v>
      </c>
      <c r="G53" s="139" t="s">
        <v>134</v>
      </c>
      <c r="H53" s="140">
        <v>105.5</v>
      </c>
      <c r="I53" s="140">
        <v>11.15</v>
      </c>
      <c r="J53" s="140">
        <v>2530.2199999999998</v>
      </c>
      <c r="K53" s="140">
        <v>7.11</v>
      </c>
    </row>
    <row r="54" spans="1:11" x14ac:dyDescent="0.25">
      <c r="A54" s="137" t="s">
        <v>264</v>
      </c>
      <c r="B54" s="137" t="s">
        <v>365</v>
      </c>
      <c r="C54" s="138">
        <v>9</v>
      </c>
      <c r="D54" s="137" t="s">
        <v>276</v>
      </c>
      <c r="E54" s="138">
        <v>98001200</v>
      </c>
      <c r="F54" s="137" t="s">
        <v>269</v>
      </c>
      <c r="G54" s="137" t="s">
        <v>135</v>
      </c>
      <c r="H54" s="138">
        <v>93.94</v>
      </c>
      <c r="I54" s="138">
        <v>9.5</v>
      </c>
      <c r="J54" s="138">
        <v>2530.2199999999998</v>
      </c>
      <c r="K54" s="138">
        <v>7.11</v>
      </c>
    </row>
    <row r="55" spans="1:11" x14ac:dyDescent="0.25">
      <c r="A55" s="139" t="s">
        <v>264</v>
      </c>
      <c r="B55" s="139" t="s">
        <v>365</v>
      </c>
      <c r="C55" s="140">
        <v>9</v>
      </c>
      <c r="D55" s="139" t="s">
        <v>276</v>
      </c>
      <c r="E55" s="140">
        <v>76265736</v>
      </c>
      <c r="F55" s="139" t="s">
        <v>267</v>
      </c>
      <c r="G55" s="139" t="s">
        <v>136</v>
      </c>
      <c r="H55" s="140">
        <v>359.76</v>
      </c>
      <c r="I55" s="140">
        <v>5.37</v>
      </c>
      <c r="J55" s="140">
        <v>2530.2199999999998</v>
      </c>
      <c r="K55" s="140">
        <v>7.11</v>
      </c>
    </row>
    <row r="56" spans="1:11" x14ac:dyDescent="0.25">
      <c r="A56" s="137" t="s">
        <v>264</v>
      </c>
      <c r="B56" s="137" t="s">
        <v>365</v>
      </c>
      <c r="C56" s="138">
        <v>10</v>
      </c>
      <c r="D56" s="137" t="s">
        <v>277</v>
      </c>
      <c r="E56" s="138">
        <v>98000000</v>
      </c>
      <c r="F56" s="137" t="s">
        <v>265</v>
      </c>
      <c r="G56" s="137" t="s">
        <v>131</v>
      </c>
      <c r="H56" s="138">
        <v>1216.94</v>
      </c>
      <c r="I56" s="138">
        <v>18.46</v>
      </c>
      <c r="J56" s="138">
        <v>6256.75</v>
      </c>
      <c r="K56" s="138">
        <v>17.59</v>
      </c>
    </row>
    <row r="57" spans="1:11" x14ac:dyDescent="0.25">
      <c r="A57" s="139" t="s">
        <v>264</v>
      </c>
      <c r="B57" s="139" t="s">
        <v>365</v>
      </c>
      <c r="C57" s="140">
        <v>10</v>
      </c>
      <c r="D57" s="139" t="s">
        <v>277</v>
      </c>
      <c r="E57" s="140">
        <v>76240079</v>
      </c>
      <c r="F57" s="139" t="s">
        <v>266</v>
      </c>
      <c r="G57" s="139" t="s">
        <v>132</v>
      </c>
      <c r="H57" s="140">
        <v>1586.84</v>
      </c>
      <c r="I57" s="140">
        <v>15.69</v>
      </c>
      <c r="J57" s="140">
        <v>6256.75</v>
      </c>
      <c r="K57" s="140">
        <v>17.59</v>
      </c>
    </row>
    <row r="58" spans="1:11" x14ac:dyDescent="0.25">
      <c r="A58" s="137" t="s">
        <v>264</v>
      </c>
      <c r="B58" s="137" t="s">
        <v>365</v>
      </c>
      <c r="C58" s="138">
        <v>10</v>
      </c>
      <c r="D58" s="137" t="s">
        <v>277</v>
      </c>
      <c r="E58" s="138">
        <v>98000100</v>
      </c>
      <c r="F58" s="137" t="s">
        <v>267</v>
      </c>
      <c r="G58" s="137" t="s">
        <v>133</v>
      </c>
      <c r="H58" s="138">
        <v>2291.0300000000002</v>
      </c>
      <c r="I58" s="138">
        <v>22.4</v>
      </c>
      <c r="J58" s="138">
        <v>6256.75</v>
      </c>
      <c r="K58" s="138">
        <v>17.59</v>
      </c>
    </row>
    <row r="59" spans="1:11" x14ac:dyDescent="0.25">
      <c r="A59" s="139" t="s">
        <v>264</v>
      </c>
      <c r="B59" s="139" t="s">
        <v>365</v>
      </c>
      <c r="C59" s="140">
        <v>10</v>
      </c>
      <c r="D59" s="139" t="s">
        <v>277</v>
      </c>
      <c r="E59" s="140">
        <v>76762250</v>
      </c>
      <c r="F59" s="139" t="s">
        <v>268</v>
      </c>
      <c r="G59" s="139" t="s">
        <v>134</v>
      </c>
      <c r="H59" s="140">
        <v>86.91</v>
      </c>
      <c r="I59" s="140">
        <v>9.18</v>
      </c>
      <c r="J59" s="140">
        <v>6256.75</v>
      </c>
      <c r="K59" s="140">
        <v>17.59</v>
      </c>
    </row>
    <row r="60" spans="1:11" x14ac:dyDescent="0.25">
      <c r="A60" s="137" t="s">
        <v>264</v>
      </c>
      <c r="B60" s="137" t="s">
        <v>365</v>
      </c>
      <c r="C60" s="138">
        <v>10</v>
      </c>
      <c r="D60" s="137" t="s">
        <v>277</v>
      </c>
      <c r="E60" s="138">
        <v>98001200</v>
      </c>
      <c r="F60" s="137" t="s">
        <v>269</v>
      </c>
      <c r="G60" s="137" t="s">
        <v>135</v>
      </c>
      <c r="H60" s="138">
        <v>172.44</v>
      </c>
      <c r="I60" s="138">
        <v>17.440000000000001</v>
      </c>
      <c r="J60" s="138">
        <v>6256.75</v>
      </c>
      <c r="K60" s="138">
        <v>17.59</v>
      </c>
    </row>
    <row r="61" spans="1:11" x14ac:dyDescent="0.25">
      <c r="A61" s="139" t="s">
        <v>264</v>
      </c>
      <c r="B61" s="139" t="s">
        <v>365</v>
      </c>
      <c r="C61" s="140">
        <v>10</v>
      </c>
      <c r="D61" s="139" t="s">
        <v>277</v>
      </c>
      <c r="E61" s="140">
        <v>76265736</v>
      </c>
      <c r="F61" s="139" t="s">
        <v>267</v>
      </c>
      <c r="G61" s="139" t="s">
        <v>136</v>
      </c>
      <c r="H61" s="140">
        <v>902.59</v>
      </c>
      <c r="I61" s="140">
        <v>13.48</v>
      </c>
      <c r="J61" s="140">
        <v>6256.75</v>
      </c>
      <c r="K61" s="140">
        <v>17.59</v>
      </c>
    </row>
    <row r="62" spans="1:11" x14ac:dyDescent="0.25">
      <c r="A62" s="137" t="s">
        <v>264</v>
      </c>
      <c r="B62" s="137" t="s">
        <v>365</v>
      </c>
      <c r="C62" s="138">
        <v>11</v>
      </c>
      <c r="D62" s="137" t="s">
        <v>278</v>
      </c>
      <c r="E62" s="138">
        <v>98000000</v>
      </c>
      <c r="F62" s="137" t="s">
        <v>265</v>
      </c>
      <c r="G62" s="137" t="s">
        <v>131</v>
      </c>
      <c r="H62" s="138">
        <v>20.46</v>
      </c>
      <c r="I62" s="138">
        <v>0.31</v>
      </c>
      <c r="J62" s="138">
        <v>116.2</v>
      </c>
      <c r="K62" s="138">
        <v>0.33</v>
      </c>
    </row>
    <row r="63" spans="1:11" x14ac:dyDescent="0.25">
      <c r="A63" s="139" t="s">
        <v>264</v>
      </c>
      <c r="B63" s="139" t="s">
        <v>365</v>
      </c>
      <c r="C63" s="140">
        <v>11</v>
      </c>
      <c r="D63" s="139" t="s">
        <v>278</v>
      </c>
      <c r="E63" s="140">
        <v>76240079</v>
      </c>
      <c r="F63" s="139" t="s">
        <v>266</v>
      </c>
      <c r="G63" s="139" t="s">
        <v>132</v>
      </c>
      <c r="H63" s="140">
        <v>34.42</v>
      </c>
      <c r="I63" s="140">
        <v>0.34</v>
      </c>
      <c r="J63" s="140">
        <v>116.2</v>
      </c>
      <c r="K63" s="140">
        <v>0.33</v>
      </c>
    </row>
    <row r="64" spans="1:11" x14ac:dyDescent="0.25">
      <c r="A64" s="137" t="s">
        <v>264</v>
      </c>
      <c r="B64" s="137" t="s">
        <v>365</v>
      </c>
      <c r="C64" s="138">
        <v>11</v>
      </c>
      <c r="D64" s="137" t="s">
        <v>278</v>
      </c>
      <c r="E64" s="138">
        <v>98000100</v>
      </c>
      <c r="F64" s="137" t="s">
        <v>267</v>
      </c>
      <c r="G64" s="137" t="s">
        <v>133</v>
      </c>
      <c r="H64" s="138">
        <v>9.7200000000000006</v>
      </c>
      <c r="I64" s="138">
        <v>0.1</v>
      </c>
      <c r="J64" s="138">
        <v>116.2</v>
      </c>
      <c r="K64" s="138">
        <v>0.33</v>
      </c>
    </row>
    <row r="65" spans="1:11" x14ac:dyDescent="0.25">
      <c r="A65" s="139" t="s">
        <v>264</v>
      </c>
      <c r="B65" s="139" t="s">
        <v>365</v>
      </c>
      <c r="C65" s="140">
        <v>11</v>
      </c>
      <c r="D65" s="139" t="s">
        <v>278</v>
      </c>
      <c r="E65" s="140">
        <v>76762250</v>
      </c>
      <c r="F65" s="139" t="s">
        <v>268</v>
      </c>
      <c r="G65" s="139" t="s">
        <v>134</v>
      </c>
      <c r="H65" s="140">
        <v>17.399999999999999</v>
      </c>
      <c r="I65" s="140">
        <v>1.84</v>
      </c>
      <c r="J65" s="140">
        <v>116.2</v>
      </c>
      <c r="K65" s="140">
        <v>0.33</v>
      </c>
    </row>
    <row r="66" spans="1:11" x14ac:dyDescent="0.25">
      <c r="A66" s="137" t="s">
        <v>264</v>
      </c>
      <c r="B66" s="137" t="s">
        <v>365</v>
      </c>
      <c r="C66" s="138">
        <v>11</v>
      </c>
      <c r="D66" s="137" t="s">
        <v>278</v>
      </c>
      <c r="E66" s="138">
        <v>98001200</v>
      </c>
      <c r="F66" s="137" t="s">
        <v>269</v>
      </c>
      <c r="G66" s="137" t="s">
        <v>135</v>
      </c>
      <c r="H66" s="138">
        <v>1.1100000000000001</v>
      </c>
      <c r="I66" s="138">
        <v>0.11</v>
      </c>
      <c r="J66" s="138">
        <v>116.2</v>
      </c>
      <c r="K66" s="138">
        <v>0.33</v>
      </c>
    </row>
    <row r="67" spans="1:11" x14ac:dyDescent="0.25">
      <c r="A67" s="139" t="s">
        <v>264</v>
      </c>
      <c r="B67" s="139" t="s">
        <v>365</v>
      </c>
      <c r="C67" s="140">
        <v>11</v>
      </c>
      <c r="D67" s="139" t="s">
        <v>278</v>
      </c>
      <c r="E67" s="140">
        <v>76265736</v>
      </c>
      <c r="F67" s="139" t="s">
        <v>267</v>
      </c>
      <c r="G67" s="139" t="s">
        <v>136</v>
      </c>
      <c r="H67" s="140">
        <v>33.090000000000003</v>
      </c>
      <c r="I67" s="140">
        <v>0.49</v>
      </c>
      <c r="J67" s="140">
        <v>116.2</v>
      </c>
      <c r="K67" s="140">
        <v>0.33</v>
      </c>
    </row>
    <row r="68" spans="1:11" x14ac:dyDescent="0.25">
      <c r="A68" s="137" t="s">
        <v>264</v>
      </c>
      <c r="B68" s="137" t="s">
        <v>365</v>
      </c>
      <c r="C68" s="138">
        <v>12</v>
      </c>
      <c r="D68" s="137" t="s">
        <v>279</v>
      </c>
      <c r="E68" s="138">
        <v>98000000</v>
      </c>
      <c r="F68" s="137" t="s">
        <v>265</v>
      </c>
      <c r="G68" s="137" t="s">
        <v>131</v>
      </c>
      <c r="H68" s="138">
        <v>1284.0899999999999</v>
      </c>
      <c r="I68" s="138">
        <v>19.47</v>
      </c>
      <c r="J68" s="138">
        <v>7090.17</v>
      </c>
      <c r="K68" s="138">
        <v>19.93</v>
      </c>
    </row>
    <row r="69" spans="1:11" x14ac:dyDescent="0.25">
      <c r="A69" s="139" t="s">
        <v>264</v>
      </c>
      <c r="B69" s="139" t="s">
        <v>365</v>
      </c>
      <c r="C69" s="140">
        <v>12</v>
      </c>
      <c r="D69" s="139" t="s">
        <v>279</v>
      </c>
      <c r="E69" s="140">
        <v>76240079</v>
      </c>
      <c r="F69" s="139" t="s">
        <v>266</v>
      </c>
      <c r="G69" s="139" t="s">
        <v>132</v>
      </c>
      <c r="H69" s="140">
        <v>1933.93</v>
      </c>
      <c r="I69" s="140">
        <v>19.12</v>
      </c>
      <c r="J69" s="140">
        <v>7090.17</v>
      </c>
      <c r="K69" s="140">
        <v>19.93</v>
      </c>
    </row>
    <row r="70" spans="1:11" x14ac:dyDescent="0.25">
      <c r="A70" s="137" t="s">
        <v>264</v>
      </c>
      <c r="B70" s="137" t="s">
        <v>365</v>
      </c>
      <c r="C70" s="138">
        <v>12</v>
      </c>
      <c r="D70" s="137" t="s">
        <v>279</v>
      </c>
      <c r="E70" s="138">
        <v>98000100</v>
      </c>
      <c r="F70" s="137" t="s">
        <v>267</v>
      </c>
      <c r="G70" s="137" t="s">
        <v>133</v>
      </c>
      <c r="H70" s="138">
        <v>1935.48</v>
      </c>
      <c r="I70" s="138">
        <v>18.920000000000002</v>
      </c>
      <c r="J70" s="138">
        <v>7090.17</v>
      </c>
      <c r="K70" s="138">
        <v>19.93</v>
      </c>
    </row>
    <row r="71" spans="1:11" x14ac:dyDescent="0.25">
      <c r="A71" s="139" t="s">
        <v>264</v>
      </c>
      <c r="B71" s="139" t="s">
        <v>365</v>
      </c>
      <c r="C71" s="140">
        <v>12</v>
      </c>
      <c r="D71" s="139" t="s">
        <v>279</v>
      </c>
      <c r="E71" s="140">
        <v>76762250</v>
      </c>
      <c r="F71" s="139" t="s">
        <v>268</v>
      </c>
      <c r="G71" s="139" t="s">
        <v>134</v>
      </c>
      <c r="H71" s="140">
        <v>67.87</v>
      </c>
      <c r="I71" s="140">
        <v>7.17</v>
      </c>
      <c r="J71" s="140">
        <v>7090.17</v>
      </c>
      <c r="K71" s="140">
        <v>19.93</v>
      </c>
    </row>
    <row r="72" spans="1:11" x14ac:dyDescent="0.25">
      <c r="A72" s="137" t="s">
        <v>264</v>
      </c>
      <c r="B72" s="137" t="s">
        <v>365</v>
      </c>
      <c r="C72" s="138">
        <v>12</v>
      </c>
      <c r="D72" s="137" t="s">
        <v>279</v>
      </c>
      <c r="E72" s="138">
        <v>98001200</v>
      </c>
      <c r="F72" s="137" t="s">
        <v>269</v>
      </c>
      <c r="G72" s="137" t="s">
        <v>135</v>
      </c>
      <c r="H72" s="138">
        <v>227.68</v>
      </c>
      <c r="I72" s="138">
        <v>23.03</v>
      </c>
      <c r="J72" s="138">
        <v>7090.17</v>
      </c>
      <c r="K72" s="138">
        <v>19.93</v>
      </c>
    </row>
    <row r="73" spans="1:11" x14ac:dyDescent="0.25">
      <c r="A73" s="139" t="s">
        <v>264</v>
      </c>
      <c r="B73" s="139" t="s">
        <v>365</v>
      </c>
      <c r="C73" s="140">
        <v>12</v>
      </c>
      <c r="D73" s="139" t="s">
        <v>279</v>
      </c>
      <c r="E73" s="140">
        <v>76265736</v>
      </c>
      <c r="F73" s="139" t="s">
        <v>267</v>
      </c>
      <c r="G73" s="139" t="s">
        <v>136</v>
      </c>
      <c r="H73" s="140">
        <v>1641.11</v>
      </c>
      <c r="I73" s="140">
        <v>24.52</v>
      </c>
      <c r="J73" s="140">
        <v>7090.17</v>
      </c>
      <c r="K73" s="140">
        <v>19.93</v>
      </c>
    </row>
    <row r="74" spans="1:11" x14ac:dyDescent="0.25">
      <c r="A74" s="137" t="s">
        <v>264</v>
      </c>
      <c r="B74" s="137" t="s">
        <v>365</v>
      </c>
      <c r="C74" s="138">
        <v>13</v>
      </c>
      <c r="D74" s="137" t="s">
        <v>280</v>
      </c>
      <c r="E74" s="138">
        <v>98000000</v>
      </c>
      <c r="F74" s="137" t="s">
        <v>265</v>
      </c>
      <c r="G74" s="137" t="s">
        <v>131</v>
      </c>
      <c r="H74" s="138">
        <v>11.16</v>
      </c>
      <c r="I74" s="138">
        <v>0.17</v>
      </c>
      <c r="J74" s="138">
        <v>38.909999999999997</v>
      </c>
      <c r="K74" s="138">
        <v>0.11</v>
      </c>
    </row>
    <row r="75" spans="1:11" x14ac:dyDescent="0.25">
      <c r="A75" s="139" t="s">
        <v>264</v>
      </c>
      <c r="B75" s="139" t="s">
        <v>365</v>
      </c>
      <c r="C75" s="140">
        <v>13</v>
      </c>
      <c r="D75" s="139" t="s">
        <v>280</v>
      </c>
      <c r="E75" s="140">
        <v>76240079</v>
      </c>
      <c r="F75" s="139" t="s">
        <v>266</v>
      </c>
      <c r="G75" s="139" t="s">
        <v>132</v>
      </c>
      <c r="H75" s="140">
        <v>6.07</v>
      </c>
      <c r="I75" s="140">
        <v>0.06</v>
      </c>
      <c r="J75" s="140">
        <v>38.909999999999997</v>
      </c>
      <c r="K75" s="140">
        <v>0.11</v>
      </c>
    </row>
    <row r="76" spans="1:11" x14ac:dyDescent="0.25">
      <c r="A76" s="137" t="s">
        <v>264</v>
      </c>
      <c r="B76" s="137" t="s">
        <v>365</v>
      </c>
      <c r="C76" s="138">
        <v>13</v>
      </c>
      <c r="D76" s="137" t="s">
        <v>280</v>
      </c>
      <c r="E76" s="138">
        <v>98000100</v>
      </c>
      <c r="F76" s="137" t="s">
        <v>267</v>
      </c>
      <c r="G76" s="137" t="s">
        <v>133</v>
      </c>
      <c r="H76" s="138">
        <v>0.81</v>
      </c>
      <c r="I76" s="138">
        <v>0.01</v>
      </c>
      <c r="J76" s="138">
        <v>38.909999999999997</v>
      </c>
      <c r="K76" s="138">
        <v>0.11</v>
      </c>
    </row>
    <row r="77" spans="1:11" x14ac:dyDescent="0.25">
      <c r="A77" s="139" t="s">
        <v>264</v>
      </c>
      <c r="B77" s="139" t="s">
        <v>365</v>
      </c>
      <c r="C77" s="140">
        <v>13</v>
      </c>
      <c r="D77" s="139" t="s">
        <v>280</v>
      </c>
      <c r="E77" s="140">
        <v>76762250</v>
      </c>
      <c r="F77" s="139" t="s">
        <v>268</v>
      </c>
      <c r="G77" s="139" t="s">
        <v>134</v>
      </c>
      <c r="H77" s="140">
        <v>1.3</v>
      </c>
      <c r="I77" s="140">
        <v>0.14000000000000001</v>
      </c>
      <c r="J77" s="140">
        <v>38.909999999999997</v>
      </c>
      <c r="K77" s="140">
        <v>0.11</v>
      </c>
    </row>
    <row r="78" spans="1:11" x14ac:dyDescent="0.25">
      <c r="A78" s="137" t="s">
        <v>264</v>
      </c>
      <c r="B78" s="137" t="s">
        <v>365</v>
      </c>
      <c r="C78" s="138">
        <v>13</v>
      </c>
      <c r="D78" s="137" t="s">
        <v>280</v>
      </c>
      <c r="E78" s="138">
        <v>98001200</v>
      </c>
      <c r="F78" s="137" t="s">
        <v>269</v>
      </c>
      <c r="G78" s="137" t="s">
        <v>135</v>
      </c>
      <c r="H78" s="138">
        <v>0.16</v>
      </c>
      <c r="I78" s="138">
        <v>0.02</v>
      </c>
      <c r="J78" s="138">
        <v>38.909999999999997</v>
      </c>
      <c r="K78" s="138">
        <v>0.11</v>
      </c>
    </row>
    <row r="79" spans="1:11" x14ac:dyDescent="0.25">
      <c r="A79" s="139" t="s">
        <v>264</v>
      </c>
      <c r="B79" s="139" t="s">
        <v>365</v>
      </c>
      <c r="C79" s="140">
        <v>13</v>
      </c>
      <c r="D79" s="139" t="s">
        <v>280</v>
      </c>
      <c r="E79" s="140">
        <v>76265736</v>
      </c>
      <c r="F79" s="139" t="s">
        <v>267</v>
      </c>
      <c r="G79" s="139" t="s">
        <v>136</v>
      </c>
      <c r="H79" s="140">
        <v>19.41</v>
      </c>
      <c r="I79" s="140">
        <v>0.28999999999999998</v>
      </c>
      <c r="J79" s="140">
        <v>38.909999999999997</v>
      </c>
      <c r="K79" s="140">
        <v>0.11</v>
      </c>
    </row>
    <row r="80" spans="1:11" x14ac:dyDescent="0.25">
      <c r="A80" s="137" t="s">
        <v>264</v>
      </c>
      <c r="B80" s="137" t="s">
        <v>365</v>
      </c>
      <c r="C80" s="138">
        <v>14</v>
      </c>
      <c r="D80" s="137" t="s">
        <v>281</v>
      </c>
      <c r="E80" s="138">
        <v>98000000</v>
      </c>
      <c r="F80" s="137" t="s">
        <v>265</v>
      </c>
      <c r="G80" s="137" t="s">
        <v>131</v>
      </c>
      <c r="H80" s="138">
        <v>0.09</v>
      </c>
      <c r="I80" s="138">
        <v>0</v>
      </c>
      <c r="J80" s="138">
        <v>24.19</v>
      </c>
      <c r="K80" s="138">
        <v>7.0000000000000007E-2</v>
      </c>
    </row>
    <row r="81" spans="1:11" x14ac:dyDescent="0.25">
      <c r="A81" s="139" t="s">
        <v>264</v>
      </c>
      <c r="B81" s="139" t="s">
        <v>365</v>
      </c>
      <c r="C81" s="140">
        <v>14</v>
      </c>
      <c r="D81" s="139" t="s">
        <v>281</v>
      </c>
      <c r="E81" s="140">
        <v>76240079</v>
      </c>
      <c r="F81" s="139" t="s">
        <v>266</v>
      </c>
      <c r="G81" s="139" t="s">
        <v>132</v>
      </c>
      <c r="H81" s="140">
        <v>1.69</v>
      </c>
      <c r="I81" s="140">
        <v>0.02</v>
      </c>
      <c r="J81" s="140">
        <v>24.19</v>
      </c>
      <c r="K81" s="140">
        <v>7.0000000000000007E-2</v>
      </c>
    </row>
    <row r="82" spans="1:11" x14ac:dyDescent="0.25">
      <c r="A82" s="137" t="s">
        <v>264</v>
      </c>
      <c r="B82" s="137" t="s">
        <v>365</v>
      </c>
      <c r="C82" s="138">
        <v>14</v>
      </c>
      <c r="D82" s="137" t="s">
        <v>281</v>
      </c>
      <c r="E82" s="138">
        <v>98000100</v>
      </c>
      <c r="F82" s="137" t="s">
        <v>267</v>
      </c>
      <c r="G82" s="137" t="s">
        <v>133</v>
      </c>
      <c r="H82" s="138">
        <v>21.57</v>
      </c>
      <c r="I82" s="138">
        <v>0.21</v>
      </c>
      <c r="J82" s="138">
        <v>24.19</v>
      </c>
      <c r="K82" s="138">
        <v>7.0000000000000007E-2</v>
      </c>
    </row>
    <row r="83" spans="1:11" x14ac:dyDescent="0.25">
      <c r="A83" s="139" t="s">
        <v>264</v>
      </c>
      <c r="B83" s="139" t="s">
        <v>365</v>
      </c>
      <c r="C83" s="140">
        <v>14</v>
      </c>
      <c r="D83" s="139" t="s">
        <v>281</v>
      </c>
      <c r="E83" s="140">
        <v>76762250</v>
      </c>
      <c r="F83" s="139" t="s">
        <v>268</v>
      </c>
      <c r="G83" s="139" t="s">
        <v>134</v>
      </c>
      <c r="H83" s="140">
        <v>0.1</v>
      </c>
      <c r="I83" s="140">
        <v>0.01</v>
      </c>
      <c r="J83" s="140">
        <v>24.19</v>
      </c>
      <c r="K83" s="140">
        <v>7.0000000000000007E-2</v>
      </c>
    </row>
    <row r="84" spans="1:11" x14ac:dyDescent="0.25">
      <c r="A84" s="137" t="s">
        <v>264</v>
      </c>
      <c r="B84" s="137" t="s">
        <v>365</v>
      </c>
      <c r="C84" s="138">
        <v>14</v>
      </c>
      <c r="D84" s="137" t="s">
        <v>281</v>
      </c>
      <c r="E84" s="138">
        <v>98001200</v>
      </c>
      <c r="F84" s="137" t="s">
        <v>269</v>
      </c>
      <c r="G84" s="137" t="s">
        <v>135</v>
      </c>
      <c r="H84" s="138">
        <v>0.33</v>
      </c>
      <c r="I84" s="138">
        <v>0.03</v>
      </c>
      <c r="J84" s="138">
        <v>24.19</v>
      </c>
      <c r="K84" s="138">
        <v>7.0000000000000007E-2</v>
      </c>
    </row>
    <row r="85" spans="1:11" x14ac:dyDescent="0.25">
      <c r="A85" s="139" t="s">
        <v>264</v>
      </c>
      <c r="B85" s="139" t="s">
        <v>365</v>
      </c>
      <c r="C85" s="140">
        <v>14</v>
      </c>
      <c r="D85" s="139" t="s">
        <v>281</v>
      </c>
      <c r="E85" s="140">
        <v>76265736</v>
      </c>
      <c r="F85" s="139" t="s">
        <v>267</v>
      </c>
      <c r="G85" s="139" t="s">
        <v>136</v>
      </c>
      <c r="H85" s="140">
        <v>0.41</v>
      </c>
      <c r="I85" s="140">
        <v>0.01</v>
      </c>
      <c r="J85" s="140">
        <v>24.19</v>
      </c>
      <c r="K85" s="140">
        <v>7.0000000000000007E-2</v>
      </c>
    </row>
    <row r="86" spans="1:11" x14ac:dyDescent="0.25">
      <c r="A86" s="137" t="s">
        <v>264</v>
      </c>
      <c r="B86" s="137" t="s">
        <v>365</v>
      </c>
      <c r="C86" s="138">
        <v>15</v>
      </c>
      <c r="D86" s="137" t="s">
        <v>282</v>
      </c>
      <c r="E86" s="138">
        <v>98000000</v>
      </c>
      <c r="F86" s="137" t="s">
        <v>265</v>
      </c>
      <c r="G86" s="137" t="s">
        <v>131</v>
      </c>
      <c r="H86" s="138">
        <v>-2.67</v>
      </c>
      <c r="I86" s="138">
        <v>-0.04</v>
      </c>
      <c r="J86" s="138">
        <v>34.33</v>
      </c>
      <c r="K86" s="138">
        <v>0.1</v>
      </c>
    </row>
    <row r="87" spans="1:11" x14ac:dyDescent="0.25">
      <c r="A87" s="139" t="s">
        <v>264</v>
      </c>
      <c r="B87" s="139" t="s">
        <v>365</v>
      </c>
      <c r="C87" s="140">
        <v>15</v>
      </c>
      <c r="D87" s="139" t="s">
        <v>282</v>
      </c>
      <c r="E87" s="140">
        <v>76240079</v>
      </c>
      <c r="F87" s="139" t="s">
        <v>266</v>
      </c>
      <c r="G87" s="139" t="s">
        <v>132</v>
      </c>
      <c r="H87" s="140">
        <v>9.86</v>
      </c>
      <c r="I87" s="140">
        <v>0.1</v>
      </c>
      <c r="J87" s="140">
        <v>34.33</v>
      </c>
      <c r="K87" s="140">
        <v>0.1</v>
      </c>
    </row>
    <row r="88" spans="1:11" x14ac:dyDescent="0.25">
      <c r="A88" s="137" t="s">
        <v>264</v>
      </c>
      <c r="B88" s="137" t="s">
        <v>365</v>
      </c>
      <c r="C88" s="138">
        <v>15</v>
      </c>
      <c r="D88" s="137" t="s">
        <v>282</v>
      </c>
      <c r="E88" s="138">
        <v>98000100</v>
      </c>
      <c r="F88" s="137" t="s">
        <v>267</v>
      </c>
      <c r="G88" s="137" t="s">
        <v>133</v>
      </c>
      <c r="H88" s="138">
        <v>20.5</v>
      </c>
      <c r="I88" s="138">
        <v>0.2</v>
      </c>
      <c r="J88" s="138">
        <v>34.33</v>
      </c>
      <c r="K88" s="138">
        <v>0.1</v>
      </c>
    </row>
    <row r="89" spans="1:11" x14ac:dyDescent="0.25">
      <c r="A89" s="139" t="s">
        <v>264</v>
      </c>
      <c r="B89" s="139" t="s">
        <v>365</v>
      </c>
      <c r="C89" s="140">
        <v>15</v>
      </c>
      <c r="D89" s="139" t="s">
        <v>282</v>
      </c>
      <c r="E89" s="140">
        <v>76762250</v>
      </c>
      <c r="F89" s="139" t="s">
        <v>268</v>
      </c>
      <c r="G89" s="139" t="s">
        <v>134</v>
      </c>
      <c r="H89" s="140">
        <v>-1.1000000000000001</v>
      </c>
      <c r="I89" s="140">
        <v>-0.12</v>
      </c>
      <c r="J89" s="140">
        <v>34.33</v>
      </c>
      <c r="K89" s="140">
        <v>0.1</v>
      </c>
    </row>
    <row r="90" spans="1:11" x14ac:dyDescent="0.25">
      <c r="A90" s="137" t="s">
        <v>264</v>
      </c>
      <c r="B90" s="137" t="s">
        <v>365</v>
      </c>
      <c r="C90" s="138">
        <v>15</v>
      </c>
      <c r="D90" s="137" t="s">
        <v>282</v>
      </c>
      <c r="E90" s="138">
        <v>98001200</v>
      </c>
      <c r="F90" s="137" t="s">
        <v>269</v>
      </c>
      <c r="G90" s="137" t="s">
        <v>135</v>
      </c>
      <c r="H90" s="138">
        <v>0.49</v>
      </c>
      <c r="I90" s="138">
        <v>0.05</v>
      </c>
      <c r="J90" s="138">
        <v>34.33</v>
      </c>
      <c r="K90" s="138">
        <v>0.1</v>
      </c>
    </row>
    <row r="91" spans="1:11" x14ac:dyDescent="0.25">
      <c r="A91" s="139" t="s">
        <v>264</v>
      </c>
      <c r="B91" s="139" t="s">
        <v>365</v>
      </c>
      <c r="C91" s="140">
        <v>15</v>
      </c>
      <c r="D91" s="139" t="s">
        <v>282</v>
      </c>
      <c r="E91" s="140">
        <v>76265736</v>
      </c>
      <c r="F91" s="139" t="s">
        <v>267</v>
      </c>
      <c r="G91" s="139" t="s">
        <v>136</v>
      </c>
      <c r="H91" s="140">
        <v>7.25</v>
      </c>
      <c r="I91" s="140">
        <v>0.11</v>
      </c>
      <c r="J91" s="140">
        <v>34.33</v>
      </c>
      <c r="K91" s="140">
        <v>0.1</v>
      </c>
    </row>
    <row r="92" spans="1:11" x14ac:dyDescent="0.25">
      <c r="A92" s="137" t="s">
        <v>264</v>
      </c>
      <c r="B92" s="137" t="s">
        <v>365</v>
      </c>
      <c r="C92" s="138">
        <v>16</v>
      </c>
      <c r="D92" s="137" t="s">
        <v>283</v>
      </c>
      <c r="E92" s="138">
        <v>98000000</v>
      </c>
      <c r="F92" s="137" t="s">
        <v>265</v>
      </c>
      <c r="G92" s="137" t="s">
        <v>131</v>
      </c>
      <c r="H92" s="138">
        <v>0.46</v>
      </c>
      <c r="I92" s="138">
        <v>0.01</v>
      </c>
      <c r="J92" s="138">
        <v>14.36</v>
      </c>
      <c r="K92" s="138">
        <v>0.04</v>
      </c>
    </row>
    <row r="93" spans="1:11" x14ac:dyDescent="0.25">
      <c r="A93" s="139" t="s">
        <v>264</v>
      </c>
      <c r="B93" s="139" t="s">
        <v>365</v>
      </c>
      <c r="C93" s="140">
        <v>16</v>
      </c>
      <c r="D93" s="139" t="s">
        <v>283</v>
      </c>
      <c r="E93" s="140">
        <v>76240079</v>
      </c>
      <c r="F93" s="139" t="s">
        <v>266</v>
      </c>
      <c r="G93" s="139" t="s">
        <v>132</v>
      </c>
      <c r="H93" s="140">
        <v>12.62</v>
      </c>
      <c r="I93" s="140">
        <v>0.12</v>
      </c>
      <c r="J93" s="140">
        <v>14.36</v>
      </c>
      <c r="K93" s="140">
        <v>0.04</v>
      </c>
    </row>
    <row r="94" spans="1:11" x14ac:dyDescent="0.25">
      <c r="A94" s="137" t="s">
        <v>264</v>
      </c>
      <c r="B94" s="137" t="s">
        <v>365</v>
      </c>
      <c r="C94" s="138">
        <v>16</v>
      </c>
      <c r="D94" s="137" t="s">
        <v>283</v>
      </c>
      <c r="E94" s="138">
        <v>98000100</v>
      </c>
      <c r="F94" s="137" t="s">
        <v>267</v>
      </c>
      <c r="G94" s="137" t="s">
        <v>133</v>
      </c>
      <c r="H94" s="138">
        <v>0.79</v>
      </c>
      <c r="I94" s="138">
        <v>0.01</v>
      </c>
      <c r="J94" s="138">
        <v>14.36</v>
      </c>
      <c r="K94" s="138">
        <v>0.04</v>
      </c>
    </row>
    <row r="95" spans="1:11" x14ac:dyDescent="0.25">
      <c r="A95" s="139" t="s">
        <v>264</v>
      </c>
      <c r="B95" s="139" t="s">
        <v>365</v>
      </c>
      <c r="C95" s="140">
        <v>16</v>
      </c>
      <c r="D95" s="139" t="s">
        <v>283</v>
      </c>
      <c r="E95" s="140">
        <v>76762250</v>
      </c>
      <c r="F95" s="139" t="s">
        <v>268</v>
      </c>
      <c r="G95" s="139" t="s">
        <v>134</v>
      </c>
      <c r="H95" s="140">
        <v>0.28999999999999998</v>
      </c>
      <c r="I95" s="140">
        <v>0.03</v>
      </c>
      <c r="J95" s="140">
        <v>14.36</v>
      </c>
      <c r="K95" s="140">
        <v>0.04</v>
      </c>
    </row>
    <row r="96" spans="1:11" x14ac:dyDescent="0.25">
      <c r="A96" s="137" t="s">
        <v>264</v>
      </c>
      <c r="B96" s="137" t="s">
        <v>365</v>
      </c>
      <c r="C96" s="138">
        <v>16</v>
      </c>
      <c r="D96" s="137" t="s">
        <v>283</v>
      </c>
      <c r="E96" s="138">
        <v>98001200</v>
      </c>
      <c r="F96" s="137" t="s">
        <v>269</v>
      </c>
      <c r="G96" s="137" t="s">
        <v>135</v>
      </c>
      <c r="H96" s="138">
        <v>0.17</v>
      </c>
      <c r="I96" s="138">
        <v>0.02</v>
      </c>
      <c r="J96" s="138">
        <v>14.36</v>
      </c>
      <c r="K96" s="138">
        <v>0.04</v>
      </c>
    </row>
    <row r="97" spans="1:11" x14ac:dyDescent="0.25">
      <c r="A97" s="139" t="s">
        <v>264</v>
      </c>
      <c r="B97" s="139" t="s">
        <v>365</v>
      </c>
      <c r="C97" s="140">
        <v>16</v>
      </c>
      <c r="D97" s="139" t="s">
        <v>283</v>
      </c>
      <c r="E97" s="140">
        <v>76265736</v>
      </c>
      <c r="F97" s="139" t="s">
        <v>267</v>
      </c>
      <c r="G97" s="139" t="s">
        <v>136</v>
      </c>
      <c r="H97" s="140">
        <v>0.03</v>
      </c>
      <c r="I97" s="140">
        <v>0</v>
      </c>
      <c r="J97" s="140">
        <v>14.36</v>
      </c>
      <c r="K97" s="140">
        <v>0.04</v>
      </c>
    </row>
    <row r="98" spans="1:11" x14ac:dyDescent="0.25">
      <c r="A98" s="137" t="s">
        <v>264</v>
      </c>
      <c r="B98" s="137" t="s">
        <v>365</v>
      </c>
      <c r="C98" s="138">
        <v>17</v>
      </c>
      <c r="D98" s="137" t="s">
        <v>13</v>
      </c>
      <c r="E98" s="138">
        <v>98000000</v>
      </c>
      <c r="F98" s="137" t="s">
        <v>265</v>
      </c>
      <c r="G98" s="137" t="s">
        <v>131</v>
      </c>
      <c r="H98" s="138">
        <v>605.79999999999995</v>
      </c>
      <c r="I98" s="138">
        <v>9.19</v>
      </c>
      <c r="J98" s="138">
        <v>3960.76</v>
      </c>
      <c r="K98" s="138">
        <v>11.14</v>
      </c>
    </row>
    <row r="99" spans="1:11" x14ac:dyDescent="0.25">
      <c r="A99" s="139" t="s">
        <v>264</v>
      </c>
      <c r="B99" s="139" t="s">
        <v>365</v>
      </c>
      <c r="C99" s="140">
        <v>17</v>
      </c>
      <c r="D99" s="139" t="s">
        <v>13</v>
      </c>
      <c r="E99" s="140">
        <v>76240079</v>
      </c>
      <c r="F99" s="139" t="s">
        <v>266</v>
      </c>
      <c r="G99" s="139" t="s">
        <v>132</v>
      </c>
      <c r="H99" s="140">
        <v>1199.28</v>
      </c>
      <c r="I99" s="140">
        <v>11.85</v>
      </c>
      <c r="J99" s="140">
        <v>3960.76</v>
      </c>
      <c r="K99" s="140">
        <v>11.14</v>
      </c>
    </row>
    <row r="100" spans="1:11" x14ac:dyDescent="0.25">
      <c r="A100" s="137" t="s">
        <v>264</v>
      </c>
      <c r="B100" s="137" t="s">
        <v>365</v>
      </c>
      <c r="C100" s="138">
        <v>17</v>
      </c>
      <c r="D100" s="137" t="s">
        <v>13</v>
      </c>
      <c r="E100" s="138">
        <v>98000100</v>
      </c>
      <c r="F100" s="137" t="s">
        <v>267</v>
      </c>
      <c r="G100" s="137" t="s">
        <v>133</v>
      </c>
      <c r="H100" s="138">
        <v>1502.05</v>
      </c>
      <c r="I100" s="138">
        <v>14.68</v>
      </c>
      <c r="J100" s="138">
        <v>3960.76</v>
      </c>
      <c r="K100" s="138">
        <v>11.14</v>
      </c>
    </row>
    <row r="101" spans="1:11" x14ac:dyDescent="0.25">
      <c r="A101" s="139" t="s">
        <v>264</v>
      </c>
      <c r="B101" s="139" t="s">
        <v>365</v>
      </c>
      <c r="C101" s="140">
        <v>17</v>
      </c>
      <c r="D101" s="139" t="s">
        <v>13</v>
      </c>
      <c r="E101" s="140">
        <v>76762250</v>
      </c>
      <c r="F101" s="139" t="s">
        <v>268</v>
      </c>
      <c r="G101" s="139" t="s">
        <v>134</v>
      </c>
      <c r="H101" s="140">
        <v>121.83</v>
      </c>
      <c r="I101" s="140">
        <v>12.87</v>
      </c>
      <c r="J101" s="140">
        <v>3960.76</v>
      </c>
      <c r="K101" s="140">
        <v>11.14</v>
      </c>
    </row>
    <row r="102" spans="1:11" x14ac:dyDescent="0.25">
      <c r="A102" s="137" t="s">
        <v>264</v>
      </c>
      <c r="B102" s="137" t="s">
        <v>365</v>
      </c>
      <c r="C102" s="138">
        <v>17</v>
      </c>
      <c r="D102" s="137" t="s">
        <v>13</v>
      </c>
      <c r="E102" s="138">
        <v>98001200</v>
      </c>
      <c r="F102" s="137" t="s">
        <v>269</v>
      </c>
      <c r="G102" s="137" t="s">
        <v>135</v>
      </c>
      <c r="H102" s="138">
        <v>84.78</v>
      </c>
      <c r="I102" s="138">
        <v>8.58</v>
      </c>
      <c r="J102" s="138">
        <v>3960.76</v>
      </c>
      <c r="K102" s="138">
        <v>11.14</v>
      </c>
    </row>
    <row r="103" spans="1:11" x14ac:dyDescent="0.25">
      <c r="A103" s="139" t="s">
        <v>264</v>
      </c>
      <c r="B103" s="139" t="s">
        <v>365</v>
      </c>
      <c r="C103" s="140">
        <v>17</v>
      </c>
      <c r="D103" s="139" t="s">
        <v>13</v>
      </c>
      <c r="E103" s="140">
        <v>76265736</v>
      </c>
      <c r="F103" s="139" t="s">
        <v>267</v>
      </c>
      <c r="G103" s="139" t="s">
        <v>136</v>
      </c>
      <c r="H103" s="140">
        <v>447.02</v>
      </c>
      <c r="I103" s="140">
        <v>6.68</v>
      </c>
      <c r="J103" s="140">
        <v>3960.76</v>
      </c>
      <c r="K103" s="140">
        <v>11.14</v>
      </c>
    </row>
    <row r="104" spans="1:11" x14ac:dyDescent="0.25">
      <c r="A104" s="137" t="s">
        <v>264</v>
      </c>
      <c r="B104" s="137" t="s">
        <v>365</v>
      </c>
      <c r="C104" s="138">
        <v>18</v>
      </c>
      <c r="D104" s="137" t="s">
        <v>270</v>
      </c>
      <c r="E104" s="138">
        <v>98000000</v>
      </c>
      <c r="F104" s="137" t="s">
        <v>265</v>
      </c>
      <c r="G104" s="137" t="s">
        <v>131</v>
      </c>
      <c r="H104" s="138">
        <v>112.55</v>
      </c>
      <c r="I104" s="138">
        <v>1.71</v>
      </c>
      <c r="J104" s="138">
        <v>434.01</v>
      </c>
      <c r="K104" s="138">
        <v>1.22</v>
      </c>
    </row>
    <row r="105" spans="1:11" x14ac:dyDescent="0.25">
      <c r="A105" s="139" t="s">
        <v>264</v>
      </c>
      <c r="B105" s="139" t="s">
        <v>365</v>
      </c>
      <c r="C105" s="140">
        <v>18</v>
      </c>
      <c r="D105" s="139" t="s">
        <v>270</v>
      </c>
      <c r="E105" s="140">
        <v>76240079</v>
      </c>
      <c r="F105" s="139" t="s">
        <v>266</v>
      </c>
      <c r="G105" s="139" t="s">
        <v>132</v>
      </c>
      <c r="H105" s="140">
        <v>115.26</v>
      </c>
      <c r="I105" s="140">
        <v>1.1399999999999999</v>
      </c>
      <c r="J105" s="140">
        <v>434.01</v>
      </c>
      <c r="K105" s="140">
        <v>1.22</v>
      </c>
    </row>
    <row r="106" spans="1:11" x14ac:dyDescent="0.25">
      <c r="A106" s="137" t="s">
        <v>264</v>
      </c>
      <c r="B106" s="137" t="s">
        <v>365</v>
      </c>
      <c r="C106" s="138">
        <v>18</v>
      </c>
      <c r="D106" s="137" t="s">
        <v>270</v>
      </c>
      <c r="E106" s="138">
        <v>98000100</v>
      </c>
      <c r="F106" s="137" t="s">
        <v>267</v>
      </c>
      <c r="G106" s="137" t="s">
        <v>133</v>
      </c>
      <c r="H106" s="138">
        <v>174.03</v>
      </c>
      <c r="I106" s="138">
        <v>1.7</v>
      </c>
      <c r="J106" s="138">
        <v>434.01</v>
      </c>
      <c r="K106" s="138">
        <v>1.22</v>
      </c>
    </row>
    <row r="107" spans="1:11" x14ac:dyDescent="0.25">
      <c r="A107" s="139" t="s">
        <v>264</v>
      </c>
      <c r="B107" s="139" t="s">
        <v>365</v>
      </c>
      <c r="C107" s="140">
        <v>18</v>
      </c>
      <c r="D107" s="139" t="s">
        <v>270</v>
      </c>
      <c r="E107" s="140">
        <v>76762250</v>
      </c>
      <c r="F107" s="139" t="s">
        <v>268</v>
      </c>
      <c r="G107" s="139" t="s">
        <v>134</v>
      </c>
      <c r="H107" s="140">
        <v>17.48</v>
      </c>
      <c r="I107" s="140">
        <v>1.85</v>
      </c>
      <c r="J107" s="140">
        <v>434.01</v>
      </c>
      <c r="K107" s="140">
        <v>1.22</v>
      </c>
    </row>
    <row r="108" spans="1:11" x14ac:dyDescent="0.25">
      <c r="A108" s="137" t="s">
        <v>264</v>
      </c>
      <c r="B108" s="137" t="s">
        <v>365</v>
      </c>
      <c r="C108" s="138">
        <v>18</v>
      </c>
      <c r="D108" s="137" t="s">
        <v>270</v>
      </c>
      <c r="E108" s="138">
        <v>98001200</v>
      </c>
      <c r="F108" s="137" t="s">
        <v>269</v>
      </c>
      <c r="G108" s="137" t="s">
        <v>135</v>
      </c>
      <c r="H108" s="138">
        <v>11.75</v>
      </c>
      <c r="I108" s="138">
        <v>1.19</v>
      </c>
      <c r="J108" s="138">
        <v>434.01</v>
      </c>
      <c r="K108" s="138">
        <v>1.22</v>
      </c>
    </row>
    <row r="109" spans="1:11" x14ac:dyDescent="0.25">
      <c r="A109" s="139" t="s">
        <v>264</v>
      </c>
      <c r="B109" s="139" t="s">
        <v>365</v>
      </c>
      <c r="C109" s="140">
        <v>18</v>
      </c>
      <c r="D109" s="139" t="s">
        <v>270</v>
      </c>
      <c r="E109" s="140">
        <v>76265736</v>
      </c>
      <c r="F109" s="139" t="s">
        <v>267</v>
      </c>
      <c r="G109" s="139" t="s">
        <v>136</v>
      </c>
      <c r="H109" s="140">
        <v>2.94</v>
      </c>
      <c r="I109" s="140">
        <v>0.04</v>
      </c>
      <c r="J109" s="140">
        <v>434.01</v>
      </c>
      <c r="K109" s="140">
        <v>1.22</v>
      </c>
    </row>
    <row r="110" spans="1:11" x14ac:dyDescent="0.25">
      <c r="A110" s="137" t="s">
        <v>264</v>
      </c>
      <c r="B110" s="137" t="s">
        <v>365</v>
      </c>
      <c r="C110" s="138">
        <v>19</v>
      </c>
      <c r="D110" s="137" t="s">
        <v>284</v>
      </c>
      <c r="E110" s="138">
        <v>98000000</v>
      </c>
      <c r="F110" s="137" t="s">
        <v>265</v>
      </c>
      <c r="G110" s="137" t="s">
        <v>131</v>
      </c>
      <c r="H110" s="138"/>
      <c r="I110" s="138"/>
      <c r="J110" s="138"/>
      <c r="K110" s="138"/>
    </row>
    <row r="111" spans="1:11" x14ac:dyDescent="0.25">
      <c r="A111" s="139" t="s">
        <v>264</v>
      </c>
      <c r="B111" s="139" t="s">
        <v>365</v>
      </c>
      <c r="C111" s="140">
        <v>19</v>
      </c>
      <c r="D111" s="139" t="s">
        <v>284</v>
      </c>
      <c r="E111" s="140">
        <v>76240079</v>
      </c>
      <c r="F111" s="139" t="s">
        <v>266</v>
      </c>
      <c r="G111" s="139" t="s">
        <v>132</v>
      </c>
      <c r="H111" s="140"/>
      <c r="I111" s="140"/>
      <c r="J111" s="140"/>
      <c r="K111" s="140"/>
    </row>
    <row r="112" spans="1:11" x14ac:dyDescent="0.25">
      <c r="A112" s="137" t="s">
        <v>264</v>
      </c>
      <c r="B112" s="137" t="s">
        <v>365</v>
      </c>
      <c r="C112" s="138">
        <v>19</v>
      </c>
      <c r="D112" s="137" t="s">
        <v>284</v>
      </c>
      <c r="E112" s="138">
        <v>98000100</v>
      </c>
      <c r="F112" s="137" t="s">
        <v>267</v>
      </c>
      <c r="G112" s="137" t="s">
        <v>133</v>
      </c>
      <c r="H112" s="138"/>
      <c r="I112" s="138"/>
      <c r="J112" s="138"/>
      <c r="K112" s="138"/>
    </row>
    <row r="113" spans="1:11" x14ac:dyDescent="0.25">
      <c r="A113" s="139" t="s">
        <v>264</v>
      </c>
      <c r="B113" s="139" t="s">
        <v>365</v>
      </c>
      <c r="C113" s="140">
        <v>19</v>
      </c>
      <c r="D113" s="139" t="s">
        <v>284</v>
      </c>
      <c r="E113" s="140">
        <v>76762250</v>
      </c>
      <c r="F113" s="139" t="s">
        <v>268</v>
      </c>
      <c r="G113" s="139" t="s">
        <v>134</v>
      </c>
      <c r="H113" s="140"/>
      <c r="I113" s="140"/>
      <c r="J113" s="140"/>
      <c r="K113" s="140"/>
    </row>
    <row r="114" spans="1:11" x14ac:dyDescent="0.25">
      <c r="A114" s="137" t="s">
        <v>264</v>
      </c>
      <c r="B114" s="137" t="s">
        <v>365</v>
      </c>
      <c r="C114" s="138">
        <v>19</v>
      </c>
      <c r="D114" s="137" t="s">
        <v>284</v>
      </c>
      <c r="E114" s="138">
        <v>98001200</v>
      </c>
      <c r="F114" s="137" t="s">
        <v>269</v>
      </c>
      <c r="G114" s="137" t="s">
        <v>135</v>
      </c>
      <c r="H114" s="138"/>
      <c r="I114" s="138"/>
      <c r="J114" s="138"/>
      <c r="K114" s="138"/>
    </row>
    <row r="115" spans="1:11" x14ac:dyDescent="0.25">
      <c r="A115" s="139" t="s">
        <v>264</v>
      </c>
      <c r="B115" s="139" t="s">
        <v>365</v>
      </c>
      <c r="C115" s="140">
        <v>19</v>
      </c>
      <c r="D115" s="139" t="s">
        <v>284</v>
      </c>
      <c r="E115" s="140">
        <v>76265736</v>
      </c>
      <c r="F115" s="139" t="s">
        <v>267</v>
      </c>
      <c r="G115" s="139" t="s">
        <v>136</v>
      </c>
      <c r="H115" s="140"/>
      <c r="I115" s="140"/>
      <c r="J115" s="140"/>
      <c r="K115" s="140"/>
    </row>
    <row r="116" spans="1:11" x14ac:dyDescent="0.25">
      <c r="A116" s="137" t="s">
        <v>264</v>
      </c>
      <c r="B116" s="137" t="s">
        <v>365</v>
      </c>
      <c r="C116" s="138">
        <v>20</v>
      </c>
      <c r="D116" s="137" t="s">
        <v>285</v>
      </c>
      <c r="E116" s="138">
        <v>98000000</v>
      </c>
      <c r="F116" s="137" t="s">
        <v>265</v>
      </c>
      <c r="G116" s="137" t="s">
        <v>131</v>
      </c>
      <c r="H116" s="138">
        <v>112.55</v>
      </c>
      <c r="I116" s="138">
        <v>1.71</v>
      </c>
      <c r="J116" s="138">
        <v>434.01</v>
      </c>
      <c r="K116" s="138">
        <v>1.22</v>
      </c>
    </row>
    <row r="117" spans="1:11" x14ac:dyDescent="0.25">
      <c r="A117" s="139" t="s">
        <v>264</v>
      </c>
      <c r="B117" s="139" t="s">
        <v>365</v>
      </c>
      <c r="C117" s="140">
        <v>20</v>
      </c>
      <c r="D117" s="139" t="s">
        <v>285</v>
      </c>
      <c r="E117" s="140">
        <v>76240079</v>
      </c>
      <c r="F117" s="139" t="s">
        <v>266</v>
      </c>
      <c r="G117" s="139" t="s">
        <v>132</v>
      </c>
      <c r="H117" s="140">
        <v>115.26</v>
      </c>
      <c r="I117" s="140">
        <v>1.1399999999999999</v>
      </c>
      <c r="J117" s="140">
        <v>434.01</v>
      </c>
      <c r="K117" s="140">
        <v>1.22</v>
      </c>
    </row>
    <row r="118" spans="1:11" x14ac:dyDescent="0.25">
      <c r="A118" s="137" t="s">
        <v>264</v>
      </c>
      <c r="B118" s="137" t="s">
        <v>365</v>
      </c>
      <c r="C118" s="138">
        <v>20</v>
      </c>
      <c r="D118" s="137" t="s">
        <v>285</v>
      </c>
      <c r="E118" s="138">
        <v>98000100</v>
      </c>
      <c r="F118" s="137" t="s">
        <v>267</v>
      </c>
      <c r="G118" s="137" t="s">
        <v>133</v>
      </c>
      <c r="H118" s="138">
        <v>174.03</v>
      </c>
      <c r="I118" s="138">
        <v>1.7</v>
      </c>
      <c r="J118" s="138">
        <v>434.01</v>
      </c>
      <c r="K118" s="138">
        <v>1.22</v>
      </c>
    </row>
    <row r="119" spans="1:11" x14ac:dyDescent="0.25">
      <c r="A119" s="139" t="s">
        <v>264</v>
      </c>
      <c r="B119" s="139" t="s">
        <v>365</v>
      </c>
      <c r="C119" s="140">
        <v>20</v>
      </c>
      <c r="D119" s="139" t="s">
        <v>285</v>
      </c>
      <c r="E119" s="140">
        <v>76762250</v>
      </c>
      <c r="F119" s="139" t="s">
        <v>268</v>
      </c>
      <c r="G119" s="139" t="s">
        <v>134</v>
      </c>
      <c r="H119" s="140">
        <v>17.48</v>
      </c>
      <c r="I119" s="140">
        <v>1.85</v>
      </c>
      <c r="J119" s="140">
        <v>434.01</v>
      </c>
      <c r="K119" s="140">
        <v>1.22</v>
      </c>
    </row>
    <row r="120" spans="1:11" x14ac:dyDescent="0.25">
      <c r="A120" s="137" t="s">
        <v>264</v>
      </c>
      <c r="B120" s="137" t="s">
        <v>365</v>
      </c>
      <c r="C120" s="138">
        <v>20</v>
      </c>
      <c r="D120" s="137" t="s">
        <v>285</v>
      </c>
      <c r="E120" s="138">
        <v>98001200</v>
      </c>
      <c r="F120" s="137" t="s">
        <v>269</v>
      </c>
      <c r="G120" s="137" t="s">
        <v>135</v>
      </c>
      <c r="H120" s="138">
        <v>11.75</v>
      </c>
      <c r="I120" s="138">
        <v>1.19</v>
      </c>
      <c r="J120" s="138">
        <v>434.01</v>
      </c>
      <c r="K120" s="138">
        <v>1.22</v>
      </c>
    </row>
    <row r="121" spans="1:11" x14ac:dyDescent="0.25">
      <c r="A121" s="139" t="s">
        <v>264</v>
      </c>
      <c r="B121" s="139" t="s">
        <v>365</v>
      </c>
      <c r="C121" s="140">
        <v>20</v>
      </c>
      <c r="D121" s="139" t="s">
        <v>285</v>
      </c>
      <c r="E121" s="140">
        <v>76265736</v>
      </c>
      <c r="F121" s="139" t="s">
        <v>267</v>
      </c>
      <c r="G121" s="139" t="s">
        <v>136</v>
      </c>
      <c r="H121" s="140">
        <v>2.94</v>
      </c>
      <c r="I121" s="140">
        <v>0.04</v>
      </c>
      <c r="J121" s="140">
        <v>434.01</v>
      </c>
      <c r="K121" s="140">
        <v>1.22</v>
      </c>
    </row>
    <row r="122" spans="1:11" x14ac:dyDescent="0.25">
      <c r="A122" s="137" t="s">
        <v>264</v>
      </c>
      <c r="B122" s="137" t="s">
        <v>365</v>
      </c>
      <c r="C122" s="138">
        <v>21</v>
      </c>
      <c r="D122" s="137" t="s">
        <v>272</v>
      </c>
      <c r="E122" s="138">
        <v>98000000</v>
      </c>
      <c r="F122" s="137" t="s">
        <v>265</v>
      </c>
      <c r="G122" s="137" t="s">
        <v>131</v>
      </c>
      <c r="H122" s="138">
        <v>493.28</v>
      </c>
      <c r="I122" s="138">
        <v>7.48</v>
      </c>
      <c r="J122" s="138">
        <v>3508.91</v>
      </c>
      <c r="K122" s="138">
        <v>9.8699999999999992</v>
      </c>
    </row>
    <row r="123" spans="1:11" x14ac:dyDescent="0.25">
      <c r="A123" s="139" t="s">
        <v>264</v>
      </c>
      <c r="B123" s="139" t="s">
        <v>365</v>
      </c>
      <c r="C123" s="140">
        <v>21</v>
      </c>
      <c r="D123" s="139" t="s">
        <v>272</v>
      </c>
      <c r="E123" s="140">
        <v>76240079</v>
      </c>
      <c r="F123" s="139" t="s">
        <v>266</v>
      </c>
      <c r="G123" s="139" t="s">
        <v>132</v>
      </c>
      <c r="H123" s="140">
        <v>1082.1400000000001</v>
      </c>
      <c r="I123" s="140">
        <v>10.7</v>
      </c>
      <c r="J123" s="140">
        <v>3508.91</v>
      </c>
      <c r="K123" s="140">
        <v>9.8699999999999992</v>
      </c>
    </row>
    <row r="124" spans="1:11" x14ac:dyDescent="0.25">
      <c r="A124" s="137" t="s">
        <v>264</v>
      </c>
      <c r="B124" s="137" t="s">
        <v>365</v>
      </c>
      <c r="C124" s="138">
        <v>21</v>
      </c>
      <c r="D124" s="137" t="s">
        <v>272</v>
      </c>
      <c r="E124" s="138">
        <v>98000100</v>
      </c>
      <c r="F124" s="137" t="s">
        <v>267</v>
      </c>
      <c r="G124" s="137" t="s">
        <v>133</v>
      </c>
      <c r="H124" s="138">
        <v>1319.34</v>
      </c>
      <c r="I124" s="138">
        <v>12.9</v>
      </c>
      <c r="J124" s="138">
        <v>3508.91</v>
      </c>
      <c r="K124" s="138">
        <v>9.8699999999999992</v>
      </c>
    </row>
    <row r="125" spans="1:11" x14ac:dyDescent="0.25">
      <c r="A125" s="139" t="s">
        <v>264</v>
      </c>
      <c r="B125" s="139" t="s">
        <v>365</v>
      </c>
      <c r="C125" s="140">
        <v>21</v>
      </c>
      <c r="D125" s="139" t="s">
        <v>272</v>
      </c>
      <c r="E125" s="140">
        <v>76762250</v>
      </c>
      <c r="F125" s="139" t="s">
        <v>268</v>
      </c>
      <c r="G125" s="139" t="s">
        <v>134</v>
      </c>
      <c r="H125" s="140">
        <v>104.36</v>
      </c>
      <c r="I125" s="140">
        <v>11.03</v>
      </c>
      <c r="J125" s="140">
        <v>3508.91</v>
      </c>
      <c r="K125" s="140">
        <v>9.8699999999999992</v>
      </c>
    </row>
    <row r="126" spans="1:11" x14ac:dyDescent="0.25">
      <c r="A126" s="137" t="s">
        <v>264</v>
      </c>
      <c r="B126" s="137" t="s">
        <v>365</v>
      </c>
      <c r="C126" s="138">
        <v>21</v>
      </c>
      <c r="D126" s="137" t="s">
        <v>272</v>
      </c>
      <c r="E126" s="138">
        <v>98001200</v>
      </c>
      <c r="F126" s="137" t="s">
        <v>269</v>
      </c>
      <c r="G126" s="137" t="s">
        <v>135</v>
      </c>
      <c r="H126" s="138">
        <v>73.03</v>
      </c>
      <c r="I126" s="138">
        <v>7.39</v>
      </c>
      <c r="J126" s="138">
        <v>3508.91</v>
      </c>
      <c r="K126" s="138">
        <v>9.8699999999999992</v>
      </c>
    </row>
    <row r="127" spans="1:11" x14ac:dyDescent="0.25">
      <c r="A127" s="139" t="s">
        <v>264</v>
      </c>
      <c r="B127" s="139" t="s">
        <v>365</v>
      </c>
      <c r="C127" s="140">
        <v>21</v>
      </c>
      <c r="D127" s="139" t="s">
        <v>272</v>
      </c>
      <c r="E127" s="140">
        <v>76265736</v>
      </c>
      <c r="F127" s="139" t="s">
        <v>267</v>
      </c>
      <c r="G127" s="139" t="s">
        <v>136</v>
      </c>
      <c r="H127" s="140">
        <v>436.77</v>
      </c>
      <c r="I127" s="140">
        <v>6.52</v>
      </c>
      <c r="J127" s="140">
        <v>3508.91</v>
      </c>
      <c r="K127" s="140">
        <v>9.8699999999999992</v>
      </c>
    </row>
    <row r="128" spans="1:11" x14ac:dyDescent="0.25">
      <c r="A128" s="137" t="s">
        <v>264</v>
      </c>
      <c r="B128" s="137" t="s">
        <v>365</v>
      </c>
      <c r="C128" s="138">
        <v>22</v>
      </c>
      <c r="D128" s="137" t="s">
        <v>282</v>
      </c>
      <c r="E128" s="138">
        <v>98000000</v>
      </c>
      <c r="F128" s="137" t="s">
        <v>265</v>
      </c>
      <c r="G128" s="137" t="s">
        <v>131</v>
      </c>
      <c r="H128" s="138">
        <v>-0.03</v>
      </c>
      <c r="I128" s="138">
        <v>0</v>
      </c>
      <c r="J128" s="138">
        <v>9.7200000000000006</v>
      </c>
      <c r="K128" s="138">
        <v>0.03</v>
      </c>
    </row>
    <row r="129" spans="1:11" x14ac:dyDescent="0.25">
      <c r="A129" s="139" t="s">
        <v>264</v>
      </c>
      <c r="B129" s="139" t="s">
        <v>365</v>
      </c>
      <c r="C129" s="140">
        <v>22</v>
      </c>
      <c r="D129" s="139" t="s">
        <v>282</v>
      </c>
      <c r="E129" s="140">
        <v>76240079</v>
      </c>
      <c r="F129" s="139" t="s">
        <v>266</v>
      </c>
      <c r="G129" s="139" t="s">
        <v>132</v>
      </c>
      <c r="H129" s="140">
        <v>1.88</v>
      </c>
      <c r="I129" s="140">
        <v>0.02</v>
      </c>
      <c r="J129" s="140">
        <v>9.7200000000000006</v>
      </c>
      <c r="K129" s="140">
        <v>0.03</v>
      </c>
    </row>
    <row r="130" spans="1:11" x14ac:dyDescent="0.25">
      <c r="A130" s="137" t="s">
        <v>264</v>
      </c>
      <c r="B130" s="137" t="s">
        <v>365</v>
      </c>
      <c r="C130" s="138">
        <v>22</v>
      </c>
      <c r="D130" s="137" t="s">
        <v>282</v>
      </c>
      <c r="E130" s="138">
        <v>98000100</v>
      </c>
      <c r="F130" s="137" t="s">
        <v>267</v>
      </c>
      <c r="G130" s="137" t="s">
        <v>133</v>
      </c>
      <c r="H130" s="138">
        <v>8.69</v>
      </c>
      <c r="I130" s="138">
        <v>0.08</v>
      </c>
      <c r="J130" s="138">
        <v>9.7200000000000006</v>
      </c>
      <c r="K130" s="138">
        <v>0.03</v>
      </c>
    </row>
    <row r="131" spans="1:11" x14ac:dyDescent="0.25">
      <c r="A131" s="139" t="s">
        <v>264</v>
      </c>
      <c r="B131" s="139" t="s">
        <v>365</v>
      </c>
      <c r="C131" s="140">
        <v>22</v>
      </c>
      <c r="D131" s="139" t="s">
        <v>282</v>
      </c>
      <c r="E131" s="140">
        <v>76762250</v>
      </c>
      <c r="F131" s="139" t="s">
        <v>268</v>
      </c>
      <c r="G131" s="139" t="s">
        <v>134</v>
      </c>
      <c r="H131" s="140"/>
      <c r="I131" s="140"/>
      <c r="J131" s="140">
        <v>9.7200000000000006</v>
      </c>
      <c r="K131" s="140">
        <v>0.03</v>
      </c>
    </row>
    <row r="132" spans="1:11" x14ac:dyDescent="0.25">
      <c r="A132" s="137" t="s">
        <v>264</v>
      </c>
      <c r="B132" s="137" t="s">
        <v>365</v>
      </c>
      <c r="C132" s="138">
        <v>22</v>
      </c>
      <c r="D132" s="137" t="s">
        <v>282</v>
      </c>
      <c r="E132" s="138">
        <v>98001200</v>
      </c>
      <c r="F132" s="137" t="s">
        <v>269</v>
      </c>
      <c r="G132" s="137" t="s">
        <v>135</v>
      </c>
      <c r="H132" s="138"/>
      <c r="I132" s="138"/>
      <c r="J132" s="138">
        <v>9.7200000000000006</v>
      </c>
      <c r="K132" s="138">
        <v>0.03</v>
      </c>
    </row>
    <row r="133" spans="1:11" x14ac:dyDescent="0.25">
      <c r="A133" s="139" t="s">
        <v>264</v>
      </c>
      <c r="B133" s="139" t="s">
        <v>365</v>
      </c>
      <c r="C133" s="140">
        <v>22</v>
      </c>
      <c r="D133" s="139" t="s">
        <v>282</v>
      </c>
      <c r="E133" s="140">
        <v>76265736</v>
      </c>
      <c r="F133" s="139" t="s">
        <v>267</v>
      </c>
      <c r="G133" s="139" t="s">
        <v>136</v>
      </c>
      <c r="H133" s="140">
        <v>-0.81</v>
      </c>
      <c r="I133" s="140">
        <v>-0.01</v>
      </c>
      <c r="J133" s="140">
        <v>9.7200000000000006</v>
      </c>
      <c r="K133" s="140">
        <v>0.03</v>
      </c>
    </row>
    <row r="134" spans="1:11" x14ac:dyDescent="0.25">
      <c r="A134" s="137" t="s">
        <v>264</v>
      </c>
      <c r="B134" s="137" t="s">
        <v>365</v>
      </c>
      <c r="C134" s="138">
        <v>23</v>
      </c>
      <c r="D134" s="137" t="s">
        <v>286</v>
      </c>
      <c r="E134" s="138">
        <v>98000000</v>
      </c>
      <c r="F134" s="137" t="s">
        <v>265</v>
      </c>
      <c r="G134" s="137" t="s">
        <v>131</v>
      </c>
      <c r="H134" s="138">
        <v>0</v>
      </c>
      <c r="I134" s="138">
        <v>0</v>
      </c>
      <c r="J134" s="138">
        <v>8.1199999999999992</v>
      </c>
      <c r="K134" s="138">
        <v>0.02</v>
      </c>
    </row>
    <row r="135" spans="1:11" x14ac:dyDescent="0.25">
      <c r="A135" s="139" t="s">
        <v>264</v>
      </c>
      <c r="B135" s="139" t="s">
        <v>365</v>
      </c>
      <c r="C135" s="140">
        <v>23</v>
      </c>
      <c r="D135" s="139" t="s">
        <v>286</v>
      </c>
      <c r="E135" s="140">
        <v>76240079</v>
      </c>
      <c r="F135" s="139" t="s">
        <v>266</v>
      </c>
      <c r="G135" s="139" t="s">
        <v>132</v>
      </c>
      <c r="H135" s="140">
        <v>0</v>
      </c>
      <c r="I135" s="140">
        <v>0</v>
      </c>
      <c r="J135" s="140">
        <v>8.1199999999999992</v>
      </c>
      <c r="K135" s="140">
        <v>0.02</v>
      </c>
    </row>
    <row r="136" spans="1:11" x14ac:dyDescent="0.25">
      <c r="A136" s="137" t="s">
        <v>264</v>
      </c>
      <c r="B136" s="137" t="s">
        <v>365</v>
      </c>
      <c r="C136" s="138">
        <v>23</v>
      </c>
      <c r="D136" s="137" t="s">
        <v>286</v>
      </c>
      <c r="E136" s="138">
        <v>98000100</v>
      </c>
      <c r="F136" s="137" t="s">
        <v>267</v>
      </c>
      <c r="G136" s="137" t="s">
        <v>133</v>
      </c>
      <c r="H136" s="138">
        <v>0</v>
      </c>
      <c r="I136" s="138">
        <v>0</v>
      </c>
      <c r="J136" s="138">
        <v>8.1199999999999992</v>
      </c>
      <c r="K136" s="138">
        <v>0.02</v>
      </c>
    </row>
    <row r="137" spans="1:11" x14ac:dyDescent="0.25">
      <c r="A137" s="139" t="s">
        <v>264</v>
      </c>
      <c r="B137" s="139" t="s">
        <v>365</v>
      </c>
      <c r="C137" s="140">
        <v>23</v>
      </c>
      <c r="D137" s="139" t="s">
        <v>286</v>
      </c>
      <c r="E137" s="140">
        <v>76762250</v>
      </c>
      <c r="F137" s="139" t="s">
        <v>268</v>
      </c>
      <c r="G137" s="139" t="s">
        <v>134</v>
      </c>
      <c r="H137" s="140">
        <v>0</v>
      </c>
      <c r="I137" s="140">
        <v>0</v>
      </c>
      <c r="J137" s="140">
        <v>8.1199999999999992</v>
      </c>
      <c r="K137" s="140">
        <v>0.02</v>
      </c>
    </row>
    <row r="138" spans="1:11" x14ac:dyDescent="0.25">
      <c r="A138" s="137" t="s">
        <v>264</v>
      </c>
      <c r="B138" s="137" t="s">
        <v>365</v>
      </c>
      <c r="C138" s="138">
        <v>23</v>
      </c>
      <c r="D138" s="137" t="s">
        <v>286</v>
      </c>
      <c r="E138" s="138">
        <v>98001200</v>
      </c>
      <c r="F138" s="137" t="s">
        <v>269</v>
      </c>
      <c r="G138" s="137" t="s">
        <v>135</v>
      </c>
      <c r="H138" s="138">
        <v>0</v>
      </c>
      <c r="I138" s="138">
        <v>0</v>
      </c>
      <c r="J138" s="138">
        <v>8.1199999999999992</v>
      </c>
      <c r="K138" s="138">
        <v>0.02</v>
      </c>
    </row>
    <row r="139" spans="1:11" x14ac:dyDescent="0.25">
      <c r="A139" s="139" t="s">
        <v>264</v>
      </c>
      <c r="B139" s="139" t="s">
        <v>365</v>
      </c>
      <c r="C139" s="140">
        <v>23</v>
      </c>
      <c r="D139" s="139" t="s">
        <v>286</v>
      </c>
      <c r="E139" s="140">
        <v>76265736</v>
      </c>
      <c r="F139" s="139" t="s">
        <v>267</v>
      </c>
      <c r="G139" s="139" t="s">
        <v>136</v>
      </c>
      <c r="H139" s="140">
        <v>8.1199999999999992</v>
      </c>
      <c r="I139" s="140">
        <v>0.12</v>
      </c>
      <c r="J139" s="140">
        <v>8.1199999999999992</v>
      </c>
      <c r="K139" s="140">
        <v>0.02</v>
      </c>
    </row>
    <row r="140" spans="1:11" x14ac:dyDescent="0.25">
      <c r="A140" s="137" t="s">
        <v>264</v>
      </c>
      <c r="B140" s="137" t="s">
        <v>365</v>
      </c>
      <c r="C140" s="138">
        <v>24</v>
      </c>
      <c r="D140" s="137" t="s">
        <v>16</v>
      </c>
      <c r="E140" s="138">
        <v>98000000</v>
      </c>
      <c r="F140" s="137" t="s">
        <v>265</v>
      </c>
      <c r="G140" s="137" t="s">
        <v>131</v>
      </c>
      <c r="H140" s="138">
        <v>6593.7</v>
      </c>
      <c r="I140" s="138">
        <v>100</v>
      </c>
      <c r="J140" s="138">
        <v>35568.410000000003</v>
      </c>
      <c r="K140" s="138">
        <v>100</v>
      </c>
    </row>
    <row r="141" spans="1:11" x14ac:dyDescent="0.25">
      <c r="A141" s="139" t="s">
        <v>264</v>
      </c>
      <c r="B141" s="139" t="s">
        <v>365</v>
      </c>
      <c r="C141" s="140">
        <v>24</v>
      </c>
      <c r="D141" s="139" t="s">
        <v>16</v>
      </c>
      <c r="E141" s="140">
        <v>76240079</v>
      </c>
      <c r="F141" s="139" t="s">
        <v>266</v>
      </c>
      <c r="G141" s="139" t="s">
        <v>132</v>
      </c>
      <c r="H141" s="140">
        <v>10116.290000000001</v>
      </c>
      <c r="I141" s="140">
        <v>100</v>
      </c>
      <c r="J141" s="140">
        <v>35568.410000000003</v>
      </c>
      <c r="K141" s="140">
        <v>100</v>
      </c>
    </row>
    <row r="142" spans="1:11" x14ac:dyDescent="0.25">
      <c r="A142" s="137" t="s">
        <v>264</v>
      </c>
      <c r="B142" s="137" t="s">
        <v>365</v>
      </c>
      <c r="C142" s="138">
        <v>24</v>
      </c>
      <c r="D142" s="137" t="s">
        <v>16</v>
      </c>
      <c r="E142" s="138">
        <v>98000100</v>
      </c>
      <c r="F142" s="137" t="s">
        <v>267</v>
      </c>
      <c r="G142" s="137" t="s">
        <v>133</v>
      </c>
      <c r="H142" s="138">
        <v>10229.42</v>
      </c>
      <c r="I142" s="138">
        <v>100</v>
      </c>
      <c r="J142" s="138">
        <v>35568.410000000003</v>
      </c>
      <c r="K142" s="138">
        <v>100</v>
      </c>
    </row>
    <row r="143" spans="1:11" x14ac:dyDescent="0.25">
      <c r="A143" s="139" t="s">
        <v>264</v>
      </c>
      <c r="B143" s="139" t="s">
        <v>365</v>
      </c>
      <c r="C143" s="140">
        <v>24</v>
      </c>
      <c r="D143" s="139" t="s">
        <v>16</v>
      </c>
      <c r="E143" s="140">
        <v>76762250</v>
      </c>
      <c r="F143" s="139" t="s">
        <v>268</v>
      </c>
      <c r="G143" s="139" t="s">
        <v>134</v>
      </c>
      <c r="H143" s="140">
        <v>946.3</v>
      </c>
      <c r="I143" s="140">
        <v>100</v>
      </c>
      <c r="J143" s="140">
        <v>35568.410000000003</v>
      </c>
      <c r="K143" s="140">
        <v>100</v>
      </c>
    </row>
    <row r="144" spans="1:11" x14ac:dyDescent="0.25">
      <c r="A144" s="137" t="s">
        <v>264</v>
      </c>
      <c r="B144" s="137" t="s">
        <v>365</v>
      </c>
      <c r="C144" s="138">
        <v>24</v>
      </c>
      <c r="D144" s="137" t="s">
        <v>16</v>
      </c>
      <c r="E144" s="138">
        <v>98001200</v>
      </c>
      <c r="F144" s="137" t="s">
        <v>269</v>
      </c>
      <c r="G144" s="137" t="s">
        <v>135</v>
      </c>
      <c r="H144" s="138">
        <v>988.53</v>
      </c>
      <c r="I144" s="138">
        <v>100</v>
      </c>
      <c r="J144" s="138">
        <v>35568.410000000003</v>
      </c>
      <c r="K144" s="138">
        <v>100</v>
      </c>
    </row>
    <row r="145" spans="1:11" x14ac:dyDescent="0.25">
      <c r="A145" s="139" t="s">
        <v>264</v>
      </c>
      <c r="B145" s="139" t="s">
        <v>365</v>
      </c>
      <c r="C145" s="140">
        <v>24</v>
      </c>
      <c r="D145" s="139" t="s">
        <v>16</v>
      </c>
      <c r="E145" s="140">
        <v>76265736</v>
      </c>
      <c r="F145" s="139" t="s">
        <v>267</v>
      </c>
      <c r="G145" s="139" t="s">
        <v>136</v>
      </c>
      <c r="H145" s="140">
        <v>6694.18</v>
      </c>
      <c r="I145" s="140">
        <v>100</v>
      </c>
      <c r="J145" s="140">
        <v>35568.410000000003</v>
      </c>
      <c r="K145" s="140">
        <v>100</v>
      </c>
    </row>
    <row r="146" spans="1:11" x14ac:dyDescent="0.25">
      <c r="A146" s="137" t="s">
        <v>264</v>
      </c>
      <c r="B146" s="137" t="s">
        <v>365</v>
      </c>
      <c r="C146" s="138">
        <v>25</v>
      </c>
      <c r="D146" s="137" t="s">
        <v>17</v>
      </c>
      <c r="E146" s="138">
        <v>98000000</v>
      </c>
      <c r="F146" s="137" t="s">
        <v>265</v>
      </c>
      <c r="G146" s="137" t="s">
        <v>131</v>
      </c>
      <c r="H146" s="138">
        <v>195.32</v>
      </c>
      <c r="I146" s="138">
        <v>2.96</v>
      </c>
      <c r="J146" s="138">
        <v>829.65</v>
      </c>
      <c r="K146" s="138">
        <v>2.33</v>
      </c>
    </row>
    <row r="147" spans="1:11" x14ac:dyDescent="0.25">
      <c r="A147" s="139" t="s">
        <v>264</v>
      </c>
      <c r="B147" s="139" t="s">
        <v>365</v>
      </c>
      <c r="C147" s="140">
        <v>25</v>
      </c>
      <c r="D147" s="139" t="s">
        <v>17</v>
      </c>
      <c r="E147" s="140">
        <v>76240079</v>
      </c>
      <c r="F147" s="139" t="s">
        <v>266</v>
      </c>
      <c r="G147" s="139" t="s">
        <v>132</v>
      </c>
      <c r="H147" s="140">
        <v>220.26</v>
      </c>
      <c r="I147" s="140">
        <v>2.1800000000000002</v>
      </c>
      <c r="J147" s="140">
        <v>829.65</v>
      </c>
      <c r="K147" s="140">
        <v>2.33</v>
      </c>
    </row>
    <row r="148" spans="1:11" x14ac:dyDescent="0.25">
      <c r="A148" s="137" t="s">
        <v>264</v>
      </c>
      <c r="B148" s="137" t="s">
        <v>365</v>
      </c>
      <c r="C148" s="138">
        <v>25</v>
      </c>
      <c r="D148" s="137" t="s">
        <v>17</v>
      </c>
      <c r="E148" s="138">
        <v>98000100</v>
      </c>
      <c r="F148" s="137" t="s">
        <v>267</v>
      </c>
      <c r="G148" s="137" t="s">
        <v>133</v>
      </c>
      <c r="H148" s="138">
        <v>288.52999999999997</v>
      </c>
      <c r="I148" s="138">
        <v>2.82</v>
      </c>
      <c r="J148" s="138">
        <v>829.65</v>
      </c>
      <c r="K148" s="138">
        <v>2.33</v>
      </c>
    </row>
    <row r="149" spans="1:11" x14ac:dyDescent="0.25">
      <c r="A149" s="139" t="s">
        <v>264</v>
      </c>
      <c r="B149" s="139" t="s">
        <v>365</v>
      </c>
      <c r="C149" s="140">
        <v>25</v>
      </c>
      <c r="D149" s="139" t="s">
        <v>17</v>
      </c>
      <c r="E149" s="140">
        <v>76762250</v>
      </c>
      <c r="F149" s="139" t="s">
        <v>268</v>
      </c>
      <c r="G149" s="139" t="s">
        <v>134</v>
      </c>
      <c r="H149" s="140">
        <v>27.79</v>
      </c>
      <c r="I149" s="140">
        <v>2.94</v>
      </c>
      <c r="J149" s="140">
        <v>829.65</v>
      </c>
      <c r="K149" s="140">
        <v>2.33</v>
      </c>
    </row>
    <row r="150" spans="1:11" x14ac:dyDescent="0.25">
      <c r="A150" s="137" t="s">
        <v>264</v>
      </c>
      <c r="B150" s="137" t="s">
        <v>365</v>
      </c>
      <c r="C150" s="138">
        <v>25</v>
      </c>
      <c r="D150" s="137" t="s">
        <v>17</v>
      </c>
      <c r="E150" s="138">
        <v>98001200</v>
      </c>
      <c r="F150" s="137" t="s">
        <v>269</v>
      </c>
      <c r="G150" s="137" t="s">
        <v>135</v>
      </c>
      <c r="H150" s="138">
        <v>20.82</v>
      </c>
      <c r="I150" s="138">
        <v>2.11</v>
      </c>
      <c r="J150" s="138">
        <v>829.65</v>
      </c>
      <c r="K150" s="138">
        <v>2.33</v>
      </c>
    </row>
    <row r="151" spans="1:11" x14ac:dyDescent="0.25">
      <c r="A151" s="139" t="s">
        <v>264</v>
      </c>
      <c r="B151" s="139" t="s">
        <v>365</v>
      </c>
      <c r="C151" s="140">
        <v>25</v>
      </c>
      <c r="D151" s="139" t="s">
        <v>17</v>
      </c>
      <c r="E151" s="140">
        <v>76265736</v>
      </c>
      <c r="F151" s="139" t="s">
        <v>267</v>
      </c>
      <c r="G151" s="139" t="s">
        <v>136</v>
      </c>
      <c r="H151" s="140">
        <v>76.930000000000007</v>
      </c>
      <c r="I151" s="140">
        <v>1.1499999999999999</v>
      </c>
      <c r="J151" s="140">
        <v>829.65</v>
      </c>
      <c r="K151" s="140">
        <v>2.33</v>
      </c>
    </row>
    <row r="152" spans="1:11" x14ac:dyDescent="0.25">
      <c r="A152" s="137" t="s">
        <v>264</v>
      </c>
      <c r="B152" s="137" t="s">
        <v>365</v>
      </c>
      <c r="C152" s="138">
        <v>26</v>
      </c>
      <c r="D152" s="137" t="s">
        <v>18</v>
      </c>
      <c r="E152" s="138">
        <v>98000000</v>
      </c>
      <c r="F152" s="137" t="s">
        <v>265</v>
      </c>
      <c r="G152" s="137" t="s">
        <v>131</v>
      </c>
      <c r="H152" s="138">
        <v>6400.62</v>
      </c>
      <c r="I152" s="138">
        <v>97.07</v>
      </c>
      <c r="J152" s="138">
        <v>34672.230000000003</v>
      </c>
      <c r="K152" s="138">
        <v>97.48</v>
      </c>
    </row>
    <row r="153" spans="1:11" x14ac:dyDescent="0.25">
      <c r="A153" s="139" t="s">
        <v>264</v>
      </c>
      <c r="B153" s="139" t="s">
        <v>365</v>
      </c>
      <c r="C153" s="140">
        <v>26</v>
      </c>
      <c r="D153" s="139" t="s">
        <v>18</v>
      </c>
      <c r="E153" s="140">
        <v>76240079</v>
      </c>
      <c r="F153" s="139" t="s">
        <v>266</v>
      </c>
      <c r="G153" s="139" t="s">
        <v>132</v>
      </c>
      <c r="H153" s="140">
        <v>9871.66</v>
      </c>
      <c r="I153" s="140">
        <v>97.58</v>
      </c>
      <c r="J153" s="140">
        <v>34672.230000000003</v>
      </c>
      <c r="K153" s="140">
        <v>97.48</v>
      </c>
    </row>
    <row r="154" spans="1:11" x14ac:dyDescent="0.25">
      <c r="A154" s="137" t="s">
        <v>264</v>
      </c>
      <c r="B154" s="137" t="s">
        <v>365</v>
      </c>
      <c r="C154" s="138">
        <v>26</v>
      </c>
      <c r="D154" s="137" t="s">
        <v>18</v>
      </c>
      <c r="E154" s="138">
        <v>98000100</v>
      </c>
      <c r="F154" s="137" t="s">
        <v>267</v>
      </c>
      <c r="G154" s="137" t="s">
        <v>133</v>
      </c>
      <c r="H154" s="138">
        <v>9910.92</v>
      </c>
      <c r="I154" s="138">
        <v>96.89</v>
      </c>
      <c r="J154" s="138">
        <v>34672.230000000003</v>
      </c>
      <c r="K154" s="138">
        <v>97.48</v>
      </c>
    </row>
    <row r="155" spans="1:11" x14ac:dyDescent="0.25">
      <c r="A155" s="139" t="s">
        <v>264</v>
      </c>
      <c r="B155" s="139" t="s">
        <v>365</v>
      </c>
      <c r="C155" s="140">
        <v>26</v>
      </c>
      <c r="D155" s="139" t="s">
        <v>18</v>
      </c>
      <c r="E155" s="140">
        <v>76762250</v>
      </c>
      <c r="F155" s="139" t="s">
        <v>268</v>
      </c>
      <c r="G155" s="139" t="s">
        <v>134</v>
      </c>
      <c r="H155" s="140">
        <v>919.31</v>
      </c>
      <c r="I155" s="140">
        <v>97.15</v>
      </c>
      <c r="J155" s="140">
        <v>34672.230000000003</v>
      </c>
      <c r="K155" s="140">
        <v>97.48</v>
      </c>
    </row>
    <row r="156" spans="1:11" x14ac:dyDescent="0.25">
      <c r="A156" s="137" t="s">
        <v>264</v>
      </c>
      <c r="B156" s="137" t="s">
        <v>365</v>
      </c>
      <c r="C156" s="138">
        <v>26</v>
      </c>
      <c r="D156" s="137" t="s">
        <v>18</v>
      </c>
      <c r="E156" s="138">
        <v>98001200</v>
      </c>
      <c r="F156" s="137" t="s">
        <v>269</v>
      </c>
      <c r="G156" s="137" t="s">
        <v>135</v>
      </c>
      <c r="H156" s="138">
        <v>967.06</v>
      </c>
      <c r="I156" s="138">
        <v>97.83</v>
      </c>
      <c r="J156" s="138">
        <v>34672.230000000003</v>
      </c>
      <c r="K156" s="138">
        <v>97.48</v>
      </c>
    </row>
    <row r="157" spans="1:11" x14ac:dyDescent="0.25">
      <c r="A157" s="139" t="s">
        <v>264</v>
      </c>
      <c r="B157" s="139" t="s">
        <v>365</v>
      </c>
      <c r="C157" s="140">
        <v>26</v>
      </c>
      <c r="D157" s="139" t="s">
        <v>18</v>
      </c>
      <c r="E157" s="140">
        <v>76265736</v>
      </c>
      <c r="F157" s="139" t="s">
        <v>267</v>
      </c>
      <c r="G157" s="139" t="s">
        <v>136</v>
      </c>
      <c r="H157" s="140">
        <v>6602.66</v>
      </c>
      <c r="I157" s="140">
        <v>98.63</v>
      </c>
      <c r="J157" s="140">
        <v>34672.230000000003</v>
      </c>
      <c r="K157" s="140">
        <v>97.48</v>
      </c>
    </row>
    <row r="158" spans="1:11" x14ac:dyDescent="0.25">
      <c r="A158" s="137" t="s">
        <v>264</v>
      </c>
      <c r="B158" s="137" t="s">
        <v>365</v>
      </c>
      <c r="C158" s="138">
        <v>27</v>
      </c>
      <c r="D158" s="137" t="s">
        <v>19</v>
      </c>
      <c r="E158" s="138">
        <v>98000000</v>
      </c>
      <c r="F158" s="137" t="s">
        <v>265</v>
      </c>
      <c r="G158" s="137" t="s">
        <v>131</v>
      </c>
      <c r="H158" s="138">
        <v>-2.7</v>
      </c>
      <c r="I158" s="138">
        <v>-0.04</v>
      </c>
      <c r="J158" s="138">
        <v>44.06</v>
      </c>
      <c r="K158" s="138">
        <v>0.12</v>
      </c>
    </row>
    <row r="159" spans="1:11" x14ac:dyDescent="0.25">
      <c r="A159" s="139" t="s">
        <v>264</v>
      </c>
      <c r="B159" s="139" t="s">
        <v>365</v>
      </c>
      <c r="C159" s="140">
        <v>27</v>
      </c>
      <c r="D159" s="139" t="s">
        <v>19</v>
      </c>
      <c r="E159" s="140">
        <v>76240079</v>
      </c>
      <c r="F159" s="139" t="s">
        <v>266</v>
      </c>
      <c r="G159" s="139" t="s">
        <v>132</v>
      </c>
      <c r="H159" s="140">
        <v>11.74</v>
      </c>
      <c r="I159" s="140">
        <v>0.12</v>
      </c>
      <c r="J159" s="140">
        <v>44.06</v>
      </c>
      <c r="K159" s="140">
        <v>0.12</v>
      </c>
    </row>
    <row r="160" spans="1:11" x14ac:dyDescent="0.25">
      <c r="A160" s="137" t="s">
        <v>264</v>
      </c>
      <c r="B160" s="137" t="s">
        <v>365</v>
      </c>
      <c r="C160" s="138">
        <v>27</v>
      </c>
      <c r="D160" s="137" t="s">
        <v>19</v>
      </c>
      <c r="E160" s="138">
        <v>98000100</v>
      </c>
      <c r="F160" s="137" t="s">
        <v>267</v>
      </c>
      <c r="G160" s="137" t="s">
        <v>133</v>
      </c>
      <c r="H160" s="138">
        <v>29.18</v>
      </c>
      <c r="I160" s="138">
        <v>0.28999999999999998</v>
      </c>
      <c r="J160" s="138">
        <v>44.06</v>
      </c>
      <c r="K160" s="138">
        <v>0.12</v>
      </c>
    </row>
    <row r="161" spans="1:11" x14ac:dyDescent="0.25">
      <c r="A161" s="139" t="s">
        <v>264</v>
      </c>
      <c r="B161" s="139" t="s">
        <v>365</v>
      </c>
      <c r="C161" s="140">
        <v>27</v>
      </c>
      <c r="D161" s="139" t="s">
        <v>19</v>
      </c>
      <c r="E161" s="140">
        <v>76762250</v>
      </c>
      <c r="F161" s="139" t="s">
        <v>268</v>
      </c>
      <c r="G161" s="139" t="s">
        <v>134</v>
      </c>
      <c r="H161" s="140">
        <v>-1.1000000000000001</v>
      </c>
      <c r="I161" s="140">
        <v>-0.12</v>
      </c>
      <c r="J161" s="140">
        <v>44.06</v>
      </c>
      <c r="K161" s="140">
        <v>0.12</v>
      </c>
    </row>
    <row r="162" spans="1:11" x14ac:dyDescent="0.25">
      <c r="A162" s="137" t="s">
        <v>264</v>
      </c>
      <c r="B162" s="137" t="s">
        <v>365</v>
      </c>
      <c r="C162" s="138">
        <v>27</v>
      </c>
      <c r="D162" s="137" t="s">
        <v>19</v>
      </c>
      <c r="E162" s="138">
        <v>98001200</v>
      </c>
      <c r="F162" s="137" t="s">
        <v>269</v>
      </c>
      <c r="G162" s="137" t="s">
        <v>135</v>
      </c>
      <c r="H162" s="138">
        <v>0.49</v>
      </c>
      <c r="I162" s="138">
        <v>0.05</v>
      </c>
      <c r="J162" s="138">
        <v>44.06</v>
      </c>
      <c r="K162" s="138">
        <v>0.12</v>
      </c>
    </row>
    <row r="163" spans="1:11" x14ac:dyDescent="0.25">
      <c r="A163" s="139" t="s">
        <v>264</v>
      </c>
      <c r="B163" s="139" t="s">
        <v>365</v>
      </c>
      <c r="C163" s="140">
        <v>27</v>
      </c>
      <c r="D163" s="139" t="s">
        <v>19</v>
      </c>
      <c r="E163" s="140">
        <v>76265736</v>
      </c>
      <c r="F163" s="139" t="s">
        <v>267</v>
      </c>
      <c r="G163" s="139" t="s">
        <v>136</v>
      </c>
      <c r="H163" s="140">
        <v>6.44</v>
      </c>
      <c r="I163" s="140">
        <v>0.1</v>
      </c>
      <c r="J163" s="140">
        <v>44.06</v>
      </c>
      <c r="K163" s="140">
        <v>0.12</v>
      </c>
    </row>
    <row r="164" spans="1:11" x14ac:dyDescent="0.25">
      <c r="A164" s="137" t="s">
        <v>264</v>
      </c>
      <c r="B164" s="137" t="s">
        <v>365</v>
      </c>
      <c r="C164" s="138">
        <v>28</v>
      </c>
      <c r="D164" s="137" t="s">
        <v>20</v>
      </c>
      <c r="E164" s="138">
        <v>98000000</v>
      </c>
      <c r="F164" s="137" t="s">
        <v>265</v>
      </c>
      <c r="G164" s="137" t="s">
        <v>131</v>
      </c>
      <c r="H164" s="138">
        <v>0.46</v>
      </c>
      <c r="I164" s="138">
        <v>0.01</v>
      </c>
      <c r="J164" s="138">
        <v>22.48</v>
      </c>
      <c r="K164" s="138">
        <v>0.06</v>
      </c>
    </row>
    <row r="165" spans="1:11" x14ac:dyDescent="0.25">
      <c r="A165" s="139" t="s">
        <v>264</v>
      </c>
      <c r="B165" s="139" t="s">
        <v>365</v>
      </c>
      <c r="C165" s="140">
        <v>28</v>
      </c>
      <c r="D165" s="139" t="s">
        <v>20</v>
      </c>
      <c r="E165" s="140">
        <v>76240079</v>
      </c>
      <c r="F165" s="139" t="s">
        <v>266</v>
      </c>
      <c r="G165" s="139" t="s">
        <v>132</v>
      </c>
      <c r="H165" s="140">
        <v>12.62</v>
      </c>
      <c r="I165" s="140">
        <v>0.12</v>
      </c>
      <c r="J165" s="140">
        <v>22.48</v>
      </c>
      <c r="K165" s="140">
        <v>0.06</v>
      </c>
    </row>
    <row r="166" spans="1:11" x14ac:dyDescent="0.25">
      <c r="A166" s="137" t="s">
        <v>264</v>
      </c>
      <c r="B166" s="137" t="s">
        <v>365</v>
      </c>
      <c r="C166" s="138">
        <v>28</v>
      </c>
      <c r="D166" s="137" t="s">
        <v>20</v>
      </c>
      <c r="E166" s="138">
        <v>98000100</v>
      </c>
      <c r="F166" s="137" t="s">
        <v>267</v>
      </c>
      <c r="G166" s="137" t="s">
        <v>133</v>
      </c>
      <c r="H166" s="138">
        <v>0.8</v>
      </c>
      <c r="I166" s="138">
        <v>0.01</v>
      </c>
      <c r="J166" s="138">
        <v>22.48</v>
      </c>
      <c r="K166" s="138">
        <v>0.06</v>
      </c>
    </row>
    <row r="167" spans="1:11" x14ac:dyDescent="0.25">
      <c r="A167" s="139" t="s">
        <v>264</v>
      </c>
      <c r="B167" s="139" t="s">
        <v>365</v>
      </c>
      <c r="C167" s="140">
        <v>28</v>
      </c>
      <c r="D167" s="139" t="s">
        <v>20</v>
      </c>
      <c r="E167" s="140">
        <v>76762250</v>
      </c>
      <c r="F167" s="139" t="s">
        <v>268</v>
      </c>
      <c r="G167" s="139" t="s">
        <v>134</v>
      </c>
      <c r="H167" s="140">
        <v>0.28999999999999998</v>
      </c>
      <c r="I167" s="140">
        <v>0.03</v>
      </c>
      <c r="J167" s="140">
        <v>22.48</v>
      </c>
      <c r="K167" s="140">
        <v>0.06</v>
      </c>
    </row>
    <row r="168" spans="1:11" x14ac:dyDescent="0.25">
      <c r="A168" s="137" t="s">
        <v>264</v>
      </c>
      <c r="B168" s="137" t="s">
        <v>365</v>
      </c>
      <c r="C168" s="138">
        <v>28</v>
      </c>
      <c r="D168" s="137" t="s">
        <v>20</v>
      </c>
      <c r="E168" s="138">
        <v>98001200</v>
      </c>
      <c r="F168" s="137" t="s">
        <v>269</v>
      </c>
      <c r="G168" s="137" t="s">
        <v>135</v>
      </c>
      <c r="H168" s="138">
        <v>0.17</v>
      </c>
      <c r="I168" s="138">
        <v>0.02</v>
      </c>
      <c r="J168" s="138">
        <v>22.48</v>
      </c>
      <c r="K168" s="138">
        <v>0.06</v>
      </c>
    </row>
    <row r="169" spans="1:11" x14ac:dyDescent="0.25">
      <c r="A169" s="139" t="s">
        <v>264</v>
      </c>
      <c r="B169" s="139" t="s">
        <v>365</v>
      </c>
      <c r="C169" s="140">
        <v>28</v>
      </c>
      <c r="D169" s="139" t="s">
        <v>20</v>
      </c>
      <c r="E169" s="140">
        <v>76265736</v>
      </c>
      <c r="F169" s="139" t="s">
        <v>267</v>
      </c>
      <c r="G169" s="139" t="s">
        <v>136</v>
      </c>
      <c r="H169" s="140">
        <v>8.15</v>
      </c>
      <c r="I169" s="140">
        <v>0.12</v>
      </c>
      <c r="J169" s="140">
        <v>22.48</v>
      </c>
      <c r="K169" s="140">
        <v>0.06</v>
      </c>
    </row>
    <row r="170" spans="1:11" x14ac:dyDescent="0.25">
      <c r="A170" s="137" t="s">
        <v>264</v>
      </c>
      <c r="B170" s="137" t="s">
        <v>365</v>
      </c>
      <c r="C170" s="138"/>
      <c r="D170" s="137"/>
      <c r="E170" s="138"/>
      <c r="F170" s="137"/>
      <c r="G170" s="137"/>
      <c r="H170" s="138"/>
      <c r="I170" s="138"/>
      <c r="J170" s="138"/>
      <c r="K170" s="138"/>
    </row>
    <row r="171" spans="1:11" x14ac:dyDescent="0.25">
      <c r="A171" s="139" t="s">
        <v>264</v>
      </c>
      <c r="B171" s="139" t="s">
        <v>365</v>
      </c>
      <c r="C171" s="140"/>
      <c r="D171" s="139"/>
      <c r="E171" s="140"/>
      <c r="F171" s="139"/>
      <c r="G171" s="139"/>
      <c r="H171" s="140"/>
      <c r="I171" s="140"/>
      <c r="J171" s="140"/>
      <c r="K171" s="140"/>
    </row>
    <row r="172" spans="1:11" x14ac:dyDescent="0.25">
      <c r="A172" s="137" t="s">
        <v>264</v>
      </c>
      <c r="B172" s="137" t="s">
        <v>365</v>
      </c>
      <c r="C172" s="138"/>
      <c r="D172" s="137"/>
      <c r="E172" s="138"/>
      <c r="F172" s="137"/>
      <c r="G172" s="137"/>
      <c r="H172" s="138"/>
      <c r="I172" s="138"/>
      <c r="J172" s="138"/>
      <c r="K172" s="1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7"/>
  <sheetViews>
    <sheetView workbookViewId="0">
      <selection activeCell="H25" sqref="H25"/>
    </sheetView>
  </sheetViews>
  <sheetFormatPr baseColWidth="10" defaultRowHeight="15" x14ac:dyDescent="0.25"/>
  <cols>
    <col min="1" max="1" width="16.140625" customWidth="1"/>
  </cols>
  <sheetData>
    <row r="1" spans="1:6" ht="15.75" thickBot="1" x14ac:dyDescent="0.3">
      <c r="A1" s="68" t="s">
        <v>122</v>
      </c>
    </row>
    <row r="2" spans="1:6" ht="15.75" thickBot="1" x14ac:dyDescent="0.3">
      <c r="A2" s="204" t="s">
        <v>107</v>
      </c>
      <c r="B2" s="3" t="s">
        <v>108</v>
      </c>
    </row>
    <row r="3" spans="1:6" ht="15.75" thickBot="1" x14ac:dyDescent="0.3">
      <c r="A3" s="205"/>
      <c r="B3" s="3" t="s">
        <v>109</v>
      </c>
      <c r="C3" t="s">
        <v>130</v>
      </c>
      <c r="D3" t="s">
        <v>162</v>
      </c>
      <c r="E3" t="s">
        <v>161</v>
      </c>
    </row>
    <row r="4" spans="1:6" ht="15.75" x14ac:dyDescent="0.3">
      <c r="A4" s="4" t="s">
        <v>110</v>
      </c>
      <c r="B4" s="70">
        <v>56.25</v>
      </c>
      <c r="D4" s="12">
        <v>0.59599999999999997</v>
      </c>
      <c r="E4" s="12">
        <v>0.58260000000000001</v>
      </c>
      <c r="F4" s="12">
        <f>+D4-E4</f>
        <v>1.3399999999999967E-2</v>
      </c>
    </row>
    <row r="5" spans="1:6" ht="15.75" x14ac:dyDescent="0.3">
      <c r="A5" s="4" t="s">
        <v>111</v>
      </c>
      <c r="B5" s="70">
        <v>15.2</v>
      </c>
      <c r="D5" s="12">
        <v>0.16930000000000001</v>
      </c>
      <c r="E5" s="12">
        <v>0.1497</v>
      </c>
      <c r="F5" s="12">
        <f t="shared" ref="F5:F10" si="0">+D5-E5</f>
        <v>1.9600000000000006E-2</v>
      </c>
    </row>
    <row r="6" spans="1:6" ht="15.75" x14ac:dyDescent="0.3">
      <c r="A6" s="4" t="s">
        <v>112</v>
      </c>
      <c r="B6" s="70">
        <v>2.2000000000000002</v>
      </c>
      <c r="D6" s="12">
        <v>3.1699999999999999E-2</v>
      </c>
      <c r="E6" s="12">
        <v>3.5400000000000001E-2</v>
      </c>
      <c r="F6" s="12">
        <f t="shared" si="0"/>
        <v>-3.7000000000000019E-3</v>
      </c>
    </row>
    <row r="7" spans="1:6" ht="15.75" x14ac:dyDescent="0.3">
      <c r="A7" s="4" t="s">
        <v>113</v>
      </c>
      <c r="B7" s="70">
        <v>1.75</v>
      </c>
      <c r="D7" s="12">
        <v>1.66E-2</v>
      </c>
      <c r="E7" s="12">
        <v>1.34E-2</v>
      </c>
      <c r="F7" s="12">
        <f t="shared" si="0"/>
        <v>3.1999999999999997E-3</v>
      </c>
    </row>
    <row r="8" spans="1:6" ht="15.75" x14ac:dyDescent="0.3">
      <c r="A8" s="4" t="s">
        <v>129</v>
      </c>
      <c r="B8" s="70">
        <v>0</v>
      </c>
      <c r="D8" s="12">
        <f>+B8/100</f>
        <v>0</v>
      </c>
      <c r="E8" s="12">
        <v>0</v>
      </c>
      <c r="F8" s="12">
        <f t="shared" si="0"/>
        <v>0</v>
      </c>
    </row>
    <row r="9" spans="1:6" ht="15.75" x14ac:dyDescent="0.3">
      <c r="A9" s="4" t="s">
        <v>158</v>
      </c>
      <c r="B9" s="86">
        <v>0</v>
      </c>
      <c r="D9" s="12">
        <f>+B9/100</f>
        <v>0</v>
      </c>
      <c r="E9" s="12">
        <v>0</v>
      </c>
      <c r="F9" s="12">
        <f t="shared" si="0"/>
        <v>0</v>
      </c>
    </row>
    <row r="10" spans="1:6" ht="15.75" x14ac:dyDescent="0.3">
      <c r="A10" s="4" t="s">
        <v>123</v>
      </c>
      <c r="B10" s="63">
        <v>0</v>
      </c>
      <c r="D10" s="12">
        <f>+B10/100</f>
        <v>0</v>
      </c>
      <c r="E10" s="12">
        <v>0</v>
      </c>
      <c r="F10" s="12">
        <f t="shared" si="0"/>
        <v>0</v>
      </c>
    </row>
    <row r="11" spans="1:6" ht="15.75" x14ac:dyDescent="0.3">
      <c r="A11" s="4" t="s">
        <v>117</v>
      </c>
      <c r="B11" s="87">
        <v>16.399999999999999</v>
      </c>
      <c r="D11" s="12">
        <f>+B11/100</f>
        <v>0.16399999999999998</v>
      </c>
      <c r="E11" s="12">
        <v>0.14699999999999999</v>
      </c>
      <c r="F11" s="12"/>
    </row>
    <row r="12" spans="1:6" ht="15.75" x14ac:dyDescent="0.3">
      <c r="A12" s="69" t="s">
        <v>25</v>
      </c>
      <c r="B12" s="86">
        <v>4.9000000000000004</v>
      </c>
      <c r="D12" s="12">
        <f>+B12/100</f>
        <v>4.9000000000000002E-2</v>
      </c>
      <c r="E12">
        <v>7.2000000000000008E-2</v>
      </c>
    </row>
    <row r="13" spans="1:6" ht="15.75" x14ac:dyDescent="0.3">
      <c r="A13" s="69" t="s">
        <v>26</v>
      </c>
      <c r="B13" s="125">
        <v>3.3</v>
      </c>
      <c r="D13" s="12">
        <v>1.8599999999999998E-2</v>
      </c>
      <c r="E13" s="13">
        <v>0.9709000000000001</v>
      </c>
    </row>
    <row r="14" spans="1:6" x14ac:dyDescent="0.25">
      <c r="D14" s="12">
        <f>SUM(D4:D13)</f>
        <v>1.0451999999999997</v>
      </c>
      <c r="E14" s="13">
        <v>1.9709000000000001</v>
      </c>
    </row>
    <row r="27" ht="16.5" customHeight="1" x14ac:dyDescent="0.25"/>
  </sheetData>
  <mergeCells count="1"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6:M20"/>
  <sheetViews>
    <sheetView workbookViewId="0">
      <selection activeCell="J36" sqref="J36"/>
    </sheetView>
  </sheetViews>
  <sheetFormatPr baseColWidth="10" defaultRowHeight="15" x14ac:dyDescent="0.25"/>
  <cols>
    <col min="3" max="3" width="20.7109375" bestFit="1" customWidth="1"/>
  </cols>
  <sheetData>
    <row r="6" spans="3:13" ht="15.75" x14ac:dyDescent="0.3">
      <c r="D6" s="232" t="s">
        <v>115</v>
      </c>
      <c r="E6" s="233"/>
      <c r="F6" s="234"/>
      <c r="G6" s="232" t="s">
        <v>116</v>
      </c>
      <c r="H6" s="233"/>
      <c r="I6" s="234"/>
      <c r="M6" s="60"/>
    </row>
    <row r="7" spans="3:13" x14ac:dyDescent="0.25">
      <c r="D7" s="42" t="s">
        <v>58</v>
      </c>
      <c r="E7" s="42" t="s">
        <v>104</v>
      </c>
      <c r="F7" s="42" t="s">
        <v>105</v>
      </c>
      <c r="G7" s="42" t="s">
        <v>58</v>
      </c>
      <c r="H7" s="42" t="s">
        <v>104</v>
      </c>
      <c r="I7" s="42" t="s">
        <v>105</v>
      </c>
    </row>
    <row r="8" spans="3:13" x14ac:dyDescent="0.25">
      <c r="C8" s="43" t="s">
        <v>21</v>
      </c>
      <c r="D8" s="44">
        <f>+IF(moneda!L19/100=0,"",moneda!L19/100)</f>
        <v>0.24790000000000006</v>
      </c>
      <c r="E8" s="44">
        <f>+IF(moneda!M19/100=0,"",moneda!M19/100)</f>
        <v>0.12089999999999999</v>
      </c>
      <c r="F8" s="44">
        <f>+IF(moneda!N19/100=0,"",moneda!N19/100)</f>
        <v>9.9600000000000008E-2</v>
      </c>
      <c r="G8" s="44">
        <v>0.48930000000000001</v>
      </c>
      <c r="H8" s="44">
        <v>0.1128</v>
      </c>
      <c r="I8" s="44"/>
    </row>
    <row r="9" spans="3:13" x14ac:dyDescent="0.25">
      <c r="C9" s="45" t="s">
        <v>22</v>
      </c>
      <c r="D9" s="46">
        <f>+IF(moneda!L20/100=0,"",moneda!L20/100)</f>
        <v>0.24670000000000003</v>
      </c>
      <c r="E9" s="46">
        <f>+IF(moneda!M20/100=0,"",moneda!M20/100)</f>
        <v>2.5000000000000001E-3</v>
      </c>
      <c r="F9" s="46">
        <f>+IF(moneda!N20/100=0,"",moneda!N20/100)</f>
        <v>2.8299999999999995E-2</v>
      </c>
      <c r="G9" s="46">
        <v>0.3881</v>
      </c>
      <c r="H9" s="46">
        <v>5.8700000000000002E-2</v>
      </c>
      <c r="I9" s="46"/>
    </row>
    <row r="10" spans="3:13" x14ac:dyDescent="0.25">
      <c r="C10" s="45" t="s">
        <v>23</v>
      </c>
      <c r="D10" s="46">
        <f>+IF(moneda!L21/100=0,"",moneda!L21/100)</f>
        <v>7.2999999999999995E-2</v>
      </c>
      <c r="E10" s="46">
        <f>+IF(moneda!M21/100=0,"",moneda!M21/100)</f>
        <v>9.0999999999999998E-2</v>
      </c>
      <c r="F10" s="46" t="str">
        <f>+IF(moneda!N21/100=0,"",moneda!N21/100)</f>
        <v/>
      </c>
      <c r="G10" s="46">
        <v>0.13200000000000001</v>
      </c>
      <c r="H10" s="46">
        <v>0.01</v>
      </c>
      <c r="I10" s="46"/>
    </row>
    <row r="11" spans="3:13" x14ac:dyDescent="0.25">
      <c r="C11" s="45" t="s">
        <v>24</v>
      </c>
      <c r="D11" s="46">
        <f>+IF(moneda!L22/100=0,"",moneda!L22/100)</f>
        <v>5.6000000000000008E-3</v>
      </c>
      <c r="E11" s="46" t="str">
        <f>+IF(moneda!M22/100=0,"",moneda!M22/100)</f>
        <v/>
      </c>
      <c r="F11" s="46" t="str">
        <f>+IF(moneda!N22/100=0,"",moneda!N22/100)</f>
        <v/>
      </c>
      <c r="G11" s="46"/>
      <c r="H11" s="46"/>
      <c r="I11" s="46"/>
    </row>
    <row r="12" spans="3:13" x14ac:dyDescent="0.25">
      <c r="C12" s="47" t="s">
        <v>26</v>
      </c>
      <c r="D12" s="48">
        <f>+IF(moneda!L24/100=0,"",moneda!L24/100)</f>
        <v>1E-4</v>
      </c>
      <c r="E12" s="48" t="str">
        <f>+IF(moneda!M24/100=0,"",moneda!M24/100)</f>
        <v/>
      </c>
      <c r="F12" s="48">
        <f>+IF(moneda!N24/100=0,"",moneda!N24/100)</f>
        <v>4.0199999999999993E-2</v>
      </c>
      <c r="G12" s="48"/>
      <c r="H12" s="48"/>
      <c r="I12" s="48"/>
    </row>
    <row r="13" spans="3:13" x14ac:dyDescent="0.25">
      <c r="C13" s="49"/>
      <c r="D13" s="9">
        <f>+SUM(D8:D12)</f>
        <v>0.57330000000000014</v>
      </c>
      <c r="E13" s="9">
        <f>+SUM(E8:E12)</f>
        <v>0.21439999999999998</v>
      </c>
      <c r="F13" s="9"/>
      <c r="I13" s="9"/>
    </row>
    <row r="14" spans="3:13" x14ac:dyDescent="0.25">
      <c r="D14" s="9">
        <f>+D13/SUM(D13:E13)</f>
        <v>0.72781515805509722</v>
      </c>
      <c r="E14" s="9">
        <f>+E13/SUM(D13:E13)</f>
        <v>0.27218484194490283</v>
      </c>
      <c r="G14" s="9">
        <f>+SUM(G8:G12)</f>
        <v>1.0093999999999999</v>
      </c>
      <c r="H14" s="9">
        <f>+SUM(H8:H12)</f>
        <v>0.18149999999999999</v>
      </c>
    </row>
    <row r="16" spans="3:13" ht="15.75" x14ac:dyDescent="0.3">
      <c r="D16" s="232" t="s">
        <v>115</v>
      </c>
      <c r="E16" s="233"/>
      <c r="F16" s="234"/>
      <c r="G16" s="232" t="s">
        <v>116</v>
      </c>
      <c r="H16" s="233"/>
      <c r="I16" s="234"/>
    </row>
    <row r="17" spans="3:9" x14ac:dyDescent="0.25">
      <c r="D17" s="42" t="s">
        <v>58</v>
      </c>
      <c r="E17" s="42" t="s">
        <v>104</v>
      </c>
      <c r="G17" s="42" t="s">
        <v>58</v>
      </c>
      <c r="H17" s="42" t="s">
        <v>104</v>
      </c>
    </row>
    <row r="18" spans="3:9" x14ac:dyDescent="0.25">
      <c r="C18" s="43" t="s">
        <v>21</v>
      </c>
      <c r="D18" s="9">
        <f>+D8/SUM($D8:$F8)</f>
        <v>0.52924850555081127</v>
      </c>
      <c r="E18" s="9">
        <f t="shared" ref="D18:E20" si="0">+E8/SUM($D8:$F8)</f>
        <v>0.25811272416737824</v>
      </c>
      <c r="F18" s="9"/>
      <c r="G18" s="9">
        <f t="shared" ref="G18:H20" si="1">+G8/SUM($G8:$H8)</f>
        <v>0.81265570503238671</v>
      </c>
      <c r="H18" s="9">
        <f t="shared" si="1"/>
        <v>0.18734429496761335</v>
      </c>
      <c r="I18" s="50"/>
    </row>
    <row r="19" spans="3:9" x14ac:dyDescent="0.25">
      <c r="C19" s="45" t="s">
        <v>22</v>
      </c>
      <c r="D19" s="9">
        <f>+D9/SUM($D9:$F9)</f>
        <v>0.88900900900900903</v>
      </c>
      <c r="E19" s="9">
        <f>+E9/SUM($D9:$F9)</f>
        <v>9.0090090090090089E-3</v>
      </c>
      <c r="F19" s="9"/>
      <c r="G19" s="9">
        <f t="shared" si="1"/>
        <v>0.86862130707251572</v>
      </c>
      <c r="H19" s="9">
        <f t="shared" si="1"/>
        <v>0.13137869292748436</v>
      </c>
      <c r="I19" s="50"/>
    </row>
    <row r="20" spans="3:9" x14ac:dyDescent="0.25">
      <c r="C20" s="45" t="s">
        <v>23</v>
      </c>
      <c r="D20" s="9">
        <f t="shared" si="0"/>
        <v>0.4451219512195122</v>
      </c>
      <c r="E20" s="9">
        <f t="shared" si="0"/>
        <v>0.55487804878048785</v>
      </c>
      <c r="F20" s="9"/>
      <c r="G20" s="9">
        <f t="shared" si="1"/>
        <v>0.92957746478873238</v>
      </c>
      <c r="H20" s="9">
        <f t="shared" si="1"/>
        <v>7.0422535211267595E-2</v>
      </c>
      <c r="I20" s="50"/>
    </row>
  </sheetData>
  <mergeCells count="4">
    <mergeCell ref="D6:F6"/>
    <mergeCell ref="G6:I6"/>
    <mergeCell ref="D16:F16"/>
    <mergeCell ref="G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40"/>
  <sheetViews>
    <sheetView workbookViewId="0">
      <selection activeCell="F37" sqref="F37"/>
    </sheetView>
  </sheetViews>
  <sheetFormatPr baseColWidth="10" defaultRowHeight="15" x14ac:dyDescent="0.25"/>
  <sheetData>
    <row r="1" spans="1:15" ht="27" x14ac:dyDescent="0.3">
      <c r="B1" s="34" t="s">
        <v>148</v>
      </c>
      <c r="C1" s="230" t="s">
        <v>56</v>
      </c>
      <c r="D1" s="213">
        <v>0.01</v>
      </c>
      <c r="E1" s="213">
        <v>4.09</v>
      </c>
      <c r="F1" s="213">
        <v>0.39</v>
      </c>
      <c r="G1" s="213">
        <v>4.0999999999999996</v>
      </c>
      <c r="H1" s="213">
        <v>0.45</v>
      </c>
      <c r="I1" s="213">
        <v>4.1100000000000003</v>
      </c>
      <c r="J1" s="213">
        <v>0.97</v>
      </c>
      <c r="K1" s="213">
        <v>4.1100000000000003</v>
      </c>
      <c r="L1" s="213">
        <v>1.77</v>
      </c>
      <c r="M1" s="213">
        <v>4.1399999999999997</v>
      </c>
      <c r="N1" s="213">
        <v>0.65</v>
      </c>
      <c r="O1" s="215">
        <v>4.12</v>
      </c>
    </row>
    <row r="2" spans="1:15" ht="15.75" x14ac:dyDescent="0.3">
      <c r="A2" s="5" t="s">
        <v>63</v>
      </c>
      <c r="B2" s="5" t="s">
        <v>29</v>
      </c>
      <c r="C2" s="231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16"/>
    </row>
    <row r="3" spans="1:15" ht="15.75" x14ac:dyDescent="0.3">
      <c r="A3" s="5" t="s">
        <v>65</v>
      </c>
      <c r="B3" s="5" t="s">
        <v>41</v>
      </c>
      <c r="C3" s="95" t="s">
        <v>56</v>
      </c>
      <c r="D3" s="94">
        <v>0</v>
      </c>
      <c r="E3" s="94">
        <v>7.33</v>
      </c>
      <c r="F3" s="94">
        <v>0</v>
      </c>
      <c r="G3" s="94">
        <v>7.33</v>
      </c>
      <c r="H3" s="94">
        <v>0</v>
      </c>
      <c r="I3" s="94">
        <v>7.33</v>
      </c>
      <c r="J3" s="94">
        <v>0</v>
      </c>
      <c r="K3" s="94">
        <v>7.33</v>
      </c>
      <c r="L3" s="94">
        <v>0.02</v>
      </c>
      <c r="M3" s="94">
        <v>6.76</v>
      </c>
      <c r="N3" s="94">
        <v>0</v>
      </c>
      <c r="O3" s="93">
        <v>6.99</v>
      </c>
    </row>
    <row r="4" spans="1:15" ht="15.75" x14ac:dyDescent="0.3">
      <c r="A4" s="5" t="s">
        <v>65</v>
      </c>
      <c r="B4" s="5" t="s">
        <v>41</v>
      </c>
      <c r="C4" s="95" t="s">
        <v>58</v>
      </c>
      <c r="D4" s="94">
        <v>0.03</v>
      </c>
      <c r="E4" s="94">
        <v>3.22</v>
      </c>
      <c r="F4" s="94">
        <v>0.04</v>
      </c>
      <c r="G4" s="94">
        <v>4.16</v>
      </c>
      <c r="H4" s="94">
        <v>0.06</v>
      </c>
      <c r="I4" s="94">
        <v>3.68</v>
      </c>
      <c r="J4" s="94">
        <v>0.05</v>
      </c>
      <c r="K4" s="94">
        <v>3.66</v>
      </c>
      <c r="L4" s="94">
        <v>0.03</v>
      </c>
      <c r="M4" s="94">
        <v>3.56</v>
      </c>
      <c r="N4" s="94">
        <v>0.04</v>
      </c>
      <c r="O4" s="93">
        <v>3.68</v>
      </c>
    </row>
    <row r="5" spans="1:15" ht="15.75" x14ac:dyDescent="0.3">
      <c r="A5" s="5" t="s">
        <v>65</v>
      </c>
      <c r="B5" s="5" t="s">
        <v>41</v>
      </c>
      <c r="C5" s="95" t="s">
        <v>57</v>
      </c>
      <c r="D5" s="94">
        <v>0</v>
      </c>
      <c r="E5" s="94">
        <v>6.1</v>
      </c>
      <c r="F5" s="94">
        <v>0</v>
      </c>
      <c r="G5" s="94">
        <v>6.1</v>
      </c>
      <c r="H5" s="94">
        <v>0</v>
      </c>
      <c r="I5" s="94">
        <v>6.1</v>
      </c>
      <c r="J5" s="94">
        <v>0</v>
      </c>
      <c r="K5" s="94">
        <v>6.1</v>
      </c>
      <c r="L5" s="94">
        <v>0</v>
      </c>
      <c r="M5" s="94">
        <v>6.1</v>
      </c>
      <c r="N5" s="94">
        <v>0</v>
      </c>
      <c r="O5" s="93">
        <v>6.1</v>
      </c>
    </row>
    <row r="6" spans="1:15" ht="15.75" x14ac:dyDescent="0.3">
      <c r="A6" s="5" t="s">
        <v>67</v>
      </c>
      <c r="B6" s="5" t="s">
        <v>30</v>
      </c>
      <c r="C6" s="95" t="s">
        <v>58</v>
      </c>
      <c r="D6" s="94">
        <v>0.31</v>
      </c>
      <c r="E6" s="94">
        <v>1.59</v>
      </c>
      <c r="F6" s="94">
        <v>3.27</v>
      </c>
      <c r="G6" s="94">
        <v>1.47</v>
      </c>
      <c r="H6" s="94">
        <v>5.35</v>
      </c>
      <c r="I6" s="94">
        <v>1.53</v>
      </c>
      <c r="J6" s="94">
        <v>8.34</v>
      </c>
      <c r="K6" s="94">
        <v>1.49</v>
      </c>
      <c r="L6" s="94">
        <v>12.61</v>
      </c>
      <c r="M6" s="94">
        <v>1.45</v>
      </c>
      <c r="N6" s="94">
        <v>5.74</v>
      </c>
      <c r="O6" s="93">
        <v>1.49</v>
      </c>
    </row>
    <row r="7" spans="1:15" ht="15.75" x14ac:dyDescent="0.3">
      <c r="A7" s="5" t="s">
        <v>127</v>
      </c>
      <c r="B7" s="5" t="s">
        <v>126</v>
      </c>
      <c r="C7" s="95" t="s">
        <v>166</v>
      </c>
      <c r="D7" s="94" t="s">
        <v>139</v>
      </c>
      <c r="E7" s="94" t="s">
        <v>139</v>
      </c>
      <c r="F7" s="94" t="s">
        <v>139</v>
      </c>
      <c r="G7" s="94" t="s">
        <v>139</v>
      </c>
      <c r="H7" s="94">
        <v>0.01</v>
      </c>
      <c r="I7" s="94">
        <v>1.63</v>
      </c>
      <c r="J7" s="94">
        <v>0.01</v>
      </c>
      <c r="K7" s="94">
        <v>1.63</v>
      </c>
      <c r="L7" s="94">
        <v>0.01</v>
      </c>
      <c r="M7" s="94">
        <v>1.63</v>
      </c>
      <c r="N7" s="94">
        <v>0.01</v>
      </c>
      <c r="O7" s="93">
        <v>1.63</v>
      </c>
    </row>
    <row r="8" spans="1:15" ht="15.75" x14ac:dyDescent="0.3">
      <c r="A8" s="5" t="s">
        <v>71</v>
      </c>
      <c r="B8" s="5" t="s">
        <v>126</v>
      </c>
      <c r="C8" s="95" t="s">
        <v>56</v>
      </c>
      <c r="D8" s="94" t="s">
        <v>139</v>
      </c>
      <c r="E8" s="94" t="s">
        <v>139</v>
      </c>
      <c r="F8" s="94" t="s">
        <v>139</v>
      </c>
      <c r="G8" s="94" t="s">
        <v>139</v>
      </c>
      <c r="H8" s="94">
        <v>0.01</v>
      </c>
      <c r="I8" s="94">
        <v>4.6100000000000003</v>
      </c>
      <c r="J8" s="94" t="s">
        <v>139</v>
      </c>
      <c r="K8" s="94" t="s">
        <v>139</v>
      </c>
      <c r="L8" s="94">
        <v>0</v>
      </c>
      <c r="M8" s="94">
        <v>4.6100000000000003</v>
      </c>
      <c r="N8" s="94">
        <v>0</v>
      </c>
      <c r="O8" s="93">
        <v>4.6100000000000003</v>
      </c>
    </row>
    <row r="9" spans="1:15" ht="15.75" x14ac:dyDescent="0.3">
      <c r="A9" s="5" t="s">
        <v>71</v>
      </c>
      <c r="B9" s="5" t="s">
        <v>126</v>
      </c>
      <c r="C9" s="95" t="s">
        <v>57</v>
      </c>
      <c r="D9" s="94" t="s">
        <v>139</v>
      </c>
      <c r="E9" s="94" t="s">
        <v>139</v>
      </c>
      <c r="F9" s="94">
        <v>0.01</v>
      </c>
      <c r="G9" s="94">
        <v>3.22</v>
      </c>
      <c r="H9" s="94">
        <v>0.1</v>
      </c>
      <c r="I9" s="94">
        <v>3.08</v>
      </c>
      <c r="J9" s="94">
        <v>0.13</v>
      </c>
      <c r="K9" s="94">
        <v>3.06</v>
      </c>
      <c r="L9" s="94">
        <v>0.19</v>
      </c>
      <c r="M9" s="94">
        <v>3.09</v>
      </c>
      <c r="N9" s="94">
        <v>0.09</v>
      </c>
      <c r="O9" s="93">
        <v>3.08</v>
      </c>
    </row>
    <row r="10" spans="1:15" ht="15.75" x14ac:dyDescent="0.3">
      <c r="A10" s="5" t="s">
        <v>71</v>
      </c>
      <c r="B10" s="5" t="s">
        <v>44</v>
      </c>
      <c r="C10" s="95" t="s">
        <v>56</v>
      </c>
      <c r="D10" s="94">
        <v>0</v>
      </c>
      <c r="E10" s="94">
        <v>4.57</v>
      </c>
      <c r="F10" s="94">
        <v>0.02</v>
      </c>
      <c r="G10" s="94">
        <v>6.12</v>
      </c>
      <c r="H10" s="94">
        <v>0.09</v>
      </c>
      <c r="I10" s="94">
        <v>5.55</v>
      </c>
      <c r="J10" s="94">
        <v>0.08</v>
      </c>
      <c r="K10" s="94">
        <v>5.67</v>
      </c>
      <c r="L10" s="94">
        <v>0.12</v>
      </c>
      <c r="M10" s="94">
        <v>5.48</v>
      </c>
      <c r="N10" s="94">
        <v>7.0000000000000007E-2</v>
      </c>
      <c r="O10" s="93">
        <v>5.58</v>
      </c>
    </row>
    <row r="11" spans="1:15" ht="15.75" x14ac:dyDescent="0.3">
      <c r="A11" s="5" t="s">
        <v>73</v>
      </c>
      <c r="B11" s="5" t="s">
        <v>44</v>
      </c>
      <c r="C11" s="95" t="s">
        <v>58</v>
      </c>
      <c r="D11" s="94">
        <v>1.61</v>
      </c>
      <c r="E11" s="94">
        <v>2.88</v>
      </c>
      <c r="F11" s="94">
        <v>4.51</v>
      </c>
      <c r="G11" s="94">
        <v>2.99</v>
      </c>
      <c r="H11" s="94">
        <v>8.2100000000000009</v>
      </c>
      <c r="I11" s="94">
        <v>2.91</v>
      </c>
      <c r="J11" s="94">
        <v>11.27</v>
      </c>
      <c r="K11" s="94">
        <v>2.86</v>
      </c>
      <c r="L11" s="94">
        <v>11.19</v>
      </c>
      <c r="M11" s="94">
        <v>2.87</v>
      </c>
      <c r="N11" s="94">
        <v>7.48</v>
      </c>
      <c r="O11" s="93">
        <v>2.9</v>
      </c>
    </row>
    <row r="12" spans="1:15" ht="15.75" x14ac:dyDescent="0.3">
      <c r="A12" s="5" t="s">
        <v>75</v>
      </c>
      <c r="B12" s="5" t="s">
        <v>44</v>
      </c>
      <c r="C12" s="95" t="s">
        <v>57</v>
      </c>
      <c r="D12" s="94" t="s">
        <v>139</v>
      </c>
      <c r="E12" s="94" t="s">
        <v>139</v>
      </c>
      <c r="F12" s="94">
        <v>0.02</v>
      </c>
      <c r="G12" s="94">
        <v>2.0699999999999998</v>
      </c>
      <c r="H12" s="94">
        <v>0.16</v>
      </c>
      <c r="I12" s="94">
        <v>3.22</v>
      </c>
      <c r="J12" s="94">
        <v>0.28000000000000003</v>
      </c>
      <c r="K12" s="94">
        <v>2.69</v>
      </c>
      <c r="L12" s="94">
        <v>0.39</v>
      </c>
      <c r="M12" s="94">
        <v>2.99</v>
      </c>
      <c r="N12" s="94">
        <v>0.16</v>
      </c>
      <c r="O12" s="93">
        <v>2.97</v>
      </c>
    </row>
    <row r="13" spans="1:15" ht="15.75" x14ac:dyDescent="0.3">
      <c r="A13" s="5" t="s">
        <v>77</v>
      </c>
      <c r="B13" s="5" t="s">
        <v>152</v>
      </c>
      <c r="C13" s="95" t="s">
        <v>58</v>
      </c>
      <c r="D13" s="94">
        <v>0.03</v>
      </c>
      <c r="E13" s="94">
        <v>2.72</v>
      </c>
      <c r="F13" s="94">
        <v>0.03</v>
      </c>
      <c r="G13" s="94">
        <v>2.72</v>
      </c>
      <c r="H13" s="94">
        <v>0.16</v>
      </c>
      <c r="I13" s="94">
        <v>2.52</v>
      </c>
      <c r="J13" s="94">
        <v>0.12</v>
      </c>
      <c r="K13" s="94">
        <v>2.59</v>
      </c>
      <c r="L13" s="94">
        <v>0.08</v>
      </c>
      <c r="M13" s="94">
        <v>2.72</v>
      </c>
      <c r="N13" s="94">
        <v>0.1</v>
      </c>
      <c r="O13" s="93">
        <v>2.58</v>
      </c>
    </row>
    <row r="14" spans="1:15" ht="15.75" x14ac:dyDescent="0.3">
      <c r="A14" s="5" t="s">
        <v>79</v>
      </c>
      <c r="B14" s="5" t="s">
        <v>37</v>
      </c>
      <c r="C14" s="95" t="s">
        <v>145</v>
      </c>
      <c r="D14" s="94">
        <v>0.11</v>
      </c>
      <c r="E14" s="94">
        <v>2.56</v>
      </c>
      <c r="F14" s="94">
        <v>0.21</v>
      </c>
      <c r="G14" s="94">
        <v>2.67</v>
      </c>
      <c r="H14" s="94">
        <v>0.47</v>
      </c>
      <c r="I14" s="94">
        <v>2.61</v>
      </c>
      <c r="J14" s="94">
        <v>0.63</v>
      </c>
      <c r="K14" s="94">
        <v>2.56</v>
      </c>
      <c r="L14" s="94">
        <v>0.31</v>
      </c>
      <c r="M14" s="94">
        <v>2.6</v>
      </c>
      <c r="N14" s="94">
        <v>0.37</v>
      </c>
      <c r="O14" s="93">
        <v>2.6</v>
      </c>
    </row>
    <row r="15" spans="1:15" ht="15.75" x14ac:dyDescent="0.3">
      <c r="A15" s="5" t="s">
        <v>81</v>
      </c>
      <c r="B15" s="5" t="s">
        <v>45</v>
      </c>
      <c r="C15" s="95" t="s">
        <v>58</v>
      </c>
      <c r="D15" s="94">
        <v>0.86</v>
      </c>
      <c r="E15" s="94">
        <v>3.17</v>
      </c>
      <c r="F15" s="94">
        <v>1.57</v>
      </c>
      <c r="G15" s="94">
        <v>3.11</v>
      </c>
      <c r="H15" s="94">
        <v>2.14</v>
      </c>
      <c r="I15" s="94">
        <v>3.02</v>
      </c>
      <c r="J15" s="94">
        <v>2.11</v>
      </c>
      <c r="K15" s="94">
        <v>2.99</v>
      </c>
      <c r="L15" s="94">
        <v>2.64</v>
      </c>
      <c r="M15" s="94">
        <v>3.1</v>
      </c>
      <c r="N15" s="94">
        <v>1.91</v>
      </c>
      <c r="O15" s="93">
        <v>3.05</v>
      </c>
    </row>
    <row r="16" spans="1:15" ht="15.75" x14ac:dyDescent="0.3">
      <c r="A16" s="5" t="s">
        <v>83</v>
      </c>
      <c r="B16" s="5" t="s">
        <v>34</v>
      </c>
      <c r="C16" s="95" t="s">
        <v>56</v>
      </c>
      <c r="D16" s="94">
        <v>0.15</v>
      </c>
      <c r="E16" s="94">
        <v>4.29</v>
      </c>
      <c r="F16" s="94">
        <v>1.57</v>
      </c>
      <c r="G16" s="94">
        <v>4.3499999999999996</v>
      </c>
      <c r="H16" s="94">
        <v>2.73</v>
      </c>
      <c r="I16" s="94">
        <v>4.38</v>
      </c>
      <c r="J16" s="94">
        <v>4.91</v>
      </c>
      <c r="K16" s="94">
        <v>4.2699999999999996</v>
      </c>
      <c r="L16" s="94">
        <v>6</v>
      </c>
      <c r="M16" s="94">
        <v>4.25</v>
      </c>
      <c r="N16" s="94">
        <v>2.96</v>
      </c>
      <c r="O16" s="93">
        <v>4.3099999999999996</v>
      </c>
    </row>
    <row r="17" spans="1:15" ht="15.75" x14ac:dyDescent="0.3">
      <c r="A17" s="5" t="s">
        <v>85</v>
      </c>
      <c r="B17" s="5" t="s">
        <v>35</v>
      </c>
      <c r="C17" s="95" t="s">
        <v>58</v>
      </c>
      <c r="D17" s="94">
        <v>0.55000000000000004</v>
      </c>
      <c r="E17" s="94">
        <v>1.59</v>
      </c>
      <c r="F17" s="94">
        <v>6.05</v>
      </c>
      <c r="G17" s="94">
        <v>1.54</v>
      </c>
      <c r="H17" s="94">
        <v>11.53</v>
      </c>
      <c r="I17" s="94">
        <v>1.58</v>
      </c>
      <c r="J17" s="94">
        <v>17.64</v>
      </c>
      <c r="K17" s="94">
        <v>1.55</v>
      </c>
      <c r="L17" s="94">
        <v>22.13</v>
      </c>
      <c r="M17" s="94">
        <v>1.53</v>
      </c>
      <c r="N17" s="94">
        <v>11.41</v>
      </c>
      <c r="O17" s="93">
        <v>1.55</v>
      </c>
    </row>
    <row r="18" spans="1:15" ht="15.75" x14ac:dyDescent="0.3">
      <c r="A18" s="5" t="s">
        <v>85</v>
      </c>
      <c r="B18" s="5" t="s">
        <v>38</v>
      </c>
      <c r="C18" s="95" t="s">
        <v>58</v>
      </c>
      <c r="D18" s="94">
        <v>0</v>
      </c>
      <c r="E18" s="94">
        <v>3.34</v>
      </c>
      <c r="F18" s="94">
        <v>0</v>
      </c>
      <c r="G18" s="94">
        <v>3.28</v>
      </c>
      <c r="H18" s="94">
        <v>0.01</v>
      </c>
      <c r="I18" s="94">
        <v>3.47</v>
      </c>
      <c r="J18" s="94">
        <v>0.06</v>
      </c>
      <c r="K18" s="94">
        <v>3.4</v>
      </c>
      <c r="L18" s="94">
        <v>0.03</v>
      </c>
      <c r="M18" s="94">
        <v>3.42</v>
      </c>
      <c r="N18" s="94">
        <v>0.02</v>
      </c>
      <c r="O18" s="93">
        <v>3.41</v>
      </c>
    </row>
    <row r="19" spans="1:15" ht="15.75" x14ac:dyDescent="0.3">
      <c r="A19" s="5" t="s">
        <v>85</v>
      </c>
      <c r="B19" s="5" t="s">
        <v>31</v>
      </c>
      <c r="C19" s="95" t="s">
        <v>58</v>
      </c>
      <c r="D19" s="94">
        <v>0.04</v>
      </c>
      <c r="E19" s="94">
        <v>1.41</v>
      </c>
      <c r="F19" s="94">
        <v>0.01</v>
      </c>
      <c r="G19" s="94">
        <v>1.41</v>
      </c>
      <c r="H19" s="94">
        <v>0.05</v>
      </c>
      <c r="I19" s="94">
        <v>1.35</v>
      </c>
      <c r="J19" s="94">
        <v>0.05</v>
      </c>
      <c r="K19" s="94">
        <v>1.53</v>
      </c>
      <c r="L19" s="94">
        <v>0.03</v>
      </c>
      <c r="M19" s="94">
        <v>1.51</v>
      </c>
      <c r="N19" s="94">
        <v>0.04</v>
      </c>
      <c r="O19" s="93">
        <v>1.41</v>
      </c>
    </row>
    <row r="20" spans="1:15" ht="15.75" x14ac:dyDescent="0.3">
      <c r="A20" s="5" t="s">
        <v>93</v>
      </c>
      <c r="B20" s="5" t="s">
        <v>42</v>
      </c>
      <c r="C20" s="95" t="s">
        <v>56</v>
      </c>
      <c r="D20" s="94">
        <v>0.01</v>
      </c>
      <c r="E20" s="94">
        <v>73.2</v>
      </c>
      <c r="F20" s="94">
        <v>0.03</v>
      </c>
      <c r="G20" s="94">
        <v>45.85</v>
      </c>
      <c r="H20" s="94">
        <v>0.06</v>
      </c>
      <c r="I20" s="94">
        <v>30.62</v>
      </c>
      <c r="J20" s="94">
        <v>0.17</v>
      </c>
      <c r="K20" s="94">
        <v>11.26</v>
      </c>
      <c r="L20" s="94">
        <v>0.06</v>
      </c>
      <c r="M20" s="94">
        <v>4.6500000000000004</v>
      </c>
      <c r="N20" s="94">
        <v>0.06</v>
      </c>
      <c r="O20" s="93">
        <v>20.84</v>
      </c>
    </row>
    <row r="21" spans="1:15" ht="15.75" x14ac:dyDescent="0.3">
      <c r="A21" s="5" t="s">
        <v>93</v>
      </c>
      <c r="B21" s="5" t="s">
        <v>42</v>
      </c>
      <c r="C21" s="95" t="s">
        <v>58</v>
      </c>
      <c r="D21" s="94">
        <v>1.78</v>
      </c>
      <c r="E21" s="94">
        <v>3.18</v>
      </c>
      <c r="F21" s="94">
        <v>4.16</v>
      </c>
      <c r="G21" s="94">
        <v>3.11</v>
      </c>
      <c r="H21" s="94">
        <v>7.75</v>
      </c>
      <c r="I21" s="94">
        <v>3.12</v>
      </c>
      <c r="J21" s="94">
        <v>8.42</v>
      </c>
      <c r="K21" s="94">
        <v>3.14</v>
      </c>
      <c r="L21" s="94">
        <v>8.82</v>
      </c>
      <c r="M21" s="94">
        <v>3.04</v>
      </c>
      <c r="N21" s="94">
        <v>6.47</v>
      </c>
      <c r="O21" s="93">
        <v>3.11</v>
      </c>
    </row>
    <row r="22" spans="1:15" ht="15.75" x14ac:dyDescent="0.3">
      <c r="A22" s="5" t="s">
        <v>97</v>
      </c>
      <c r="B22" s="5" t="s">
        <v>42</v>
      </c>
      <c r="C22" s="95" t="s">
        <v>57</v>
      </c>
      <c r="D22" s="94">
        <v>0.04</v>
      </c>
      <c r="E22" s="94">
        <v>3.02</v>
      </c>
      <c r="F22" s="94">
        <v>0.34</v>
      </c>
      <c r="G22" s="94">
        <v>5.46</v>
      </c>
      <c r="H22" s="94">
        <v>0.79</v>
      </c>
      <c r="I22" s="94">
        <v>5.04</v>
      </c>
      <c r="J22" s="94">
        <v>0.83</v>
      </c>
      <c r="K22" s="94">
        <v>5.13</v>
      </c>
      <c r="L22" s="94">
        <v>1.31</v>
      </c>
      <c r="M22" s="94">
        <v>4.51</v>
      </c>
      <c r="N22" s="94">
        <v>0.68</v>
      </c>
      <c r="O22" s="93">
        <v>4.92</v>
      </c>
    </row>
    <row r="23" spans="1:15" ht="15.75" x14ac:dyDescent="0.3">
      <c r="B23" s="5" t="s">
        <v>47</v>
      </c>
      <c r="C23" s="95" t="s">
        <v>59</v>
      </c>
      <c r="D23" s="94">
        <v>0</v>
      </c>
      <c r="E23" s="94">
        <v>3.83</v>
      </c>
      <c r="F23" s="94">
        <v>0</v>
      </c>
      <c r="G23" s="94">
        <v>3.8</v>
      </c>
      <c r="H23" s="94">
        <v>0</v>
      </c>
      <c r="I23" s="94">
        <v>3.82</v>
      </c>
      <c r="J23" s="94">
        <v>0</v>
      </c>
      <c r="K23" s="94">
        <v>3.8</v>
      </c>
      <c r="L23" s="94">
        <v>0</v>
      </c>
      <c r="M23" s="94">
        <v>3.87</v>
      </c>
      <c r="N23" s="94">
        <v>0</v>
      </c>
      <c r="O23" s="93">
        <v>3.81</v>
      </c>
    </row>
    <row r="24" spans="1:15" ht="15.75" x14ac:dyDescent="0.3">
      <c r="A24" s="5" t="s">
        <v>87</v>
      </c>
      <c r="B24" s="5" t="s">
        <v>47</v>
      </c>
      <c r="C24" s="95" t="s">
        <v>58</v>
      </c>
      <c r="D24" s="94">
        <v>0.15</v>
      </c>
      <c r="E24" s="94">
        <v>3.68</v>
      </c>
      <c r="F24" s="94">
        <v>0.47</v>
      </c>
      <c r="G24" s="94">
        <v>3.83</v>
      </c>
      <c r="H24" s="94">
        <v>0.98</v>
      </c>
      <c r="I24" s="94">
        <v>3.84</v>
      </c>
      <c r="J24" s="94">
        <v>0.75</v>
      </c>
      <c r="K24" s="94">
        <v>3.8</v>
      </c>
      <c r="L24" s="94">
        <v>0.6</v>
      </c>
      <c r="M24" s="94">
        <v>3.81</v>
      </c>
      <c r="N24" s="94">
        <v>0.67</v>
      </c>
      <c r="O24" s="93">
        <v>3.82</v>
      </c>
    </row>
    <row r="25" spans="1:15" ht="15.75" x14ac:dyDescent="0.3">
      <c r="A25" s="5" t="s">
        <v>87</v>
      </c>
      <c r="B25" s="5" t="s">
        <v>32</v>
      </c>
      <c r="C25" s="95" t="s">
        <v>58</v>
      </c>
      <c r="D25" s="94">
        <v>0</v>
      </c>
      <c r="E25" s="94">
        <v>1.5</v>
      </c>
      <c r="F25" s="94">
        <v>0.01</v>
      </c>
      <c r="G25" s="94">
        <v>1.55</v>
      </c>
      <c r="H25" s="94">
        <v>0.01</v>
      </c>
      <c r="I25" s="94">
        <v>1.52</v>
      </c>
      <c r="J25" s="94">
        <v>0.01</v>
      </c>
      <c r="K25" s="94">
        <v>1.53</v>
      </c>
      <c r="L25" s="94">
        <v>0.01</v>
      </c>
      <c r="M25" s="94">
        <v>1.52</v>
      </c>
      <c r="N25" s="94">
        <v>0.01</v>
      </c>
      <c r="O25" s="93">
        <v>1.53</v>
      </c>
    </row>
    <row r="26" spans="1:15" ht="54" x14ac:dyDescent="0.3">
      <c r="A26" s="5" t="s">
        <v>91</v>
      </c>
      <c r="B26" s="5" t="s">
        <v>146</v>
      </c>
      <c r="C26" s="229" t="s">
        <v>56</v>
      </c>
      <c r="D26" s="214">
        <v>0.16</v>
      </c>
      <c r="E26" s="214">
        <v>0.26</v>
      </c>
      <c r="F26" s="214">
        <v>1.55</v>
      </c>
      <c r="G26" s="214">
        <v>0.28000000000000003</v>
      </c>
      <c r="H26" s="214">
        <v>1.3</v>
      </c>
      <c r="I26" s="214">
        <v>0.28000000000000003</v>
      </c>
      <c r="J26" s="214">
        <v>4.5</v>
      </c>
      <c r="K26" s="214">
        <v>0.28000000000000003</v>
      </c>
      <c r="L26" s="214">
        <v>17.350000000000001</v>
      </c>
      <c r="M26" s="214">
        <v>0.28000000000000003</v>
      </c>
      <c r="N26" s="214">
        <v>4.0199999999999996</v>
      </c>
      <c r="O26" s="216">
        <v>0.28000000000000003</v>
      </c>
    </row>
    <row r="27" spans="1:15" ht="15.75" x14ac:dyDescent="0.3">
      <c r="A27" s="5" t="s">
        <v>95</v>
      </c>
      <c r="B27" s="5" t="s">
        <v>46</v>
      </c>
      <c r="C27" s="229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6"/>
    </row>
    <row r="28" spans="1:15" ht="15.75" x14ac:dyDescent="0.3">
      <c r="A28" s="5"/>
      <c r="B28" s="5" t="s">
        <v>46</v>
      </c>
      <c r="C28" s="95" t="s">
        <v>58</v>
      </c>
      <c r="D28" s="94">
        <v>0.14000000000000001</v>
      </c>
      <c r="E28" s="94">
        <v>3.25</v>
      </c>
      <c r="F28" s="94">
        <v>1.94</v>
      </c>
      <c r="G28" s="94">
        <v>5.18</v>
      </c>
      <c r="H28" s="94">
        <v>2.0299999999999998</v>
      </c>
      <c r="I28" s="94">
        <v>3.63</v>
      </c>
      <c r="J28" s="94">
        <v>4.3600000000000003</v>
      </c>
      <c r="K28" s="94">
        <v>4.05</v>
      </c>
      <c r="L28" s="94">
        <v>5.54</v>
      </c>
      <c r="M28" s="94">
        <v>3.93</v>
      </c>
      <c r="N28" s="94">
        <v>2.6</v>
      </c>
      <c r="O28" s="93">
        <v>4.0199999999999996</v>
      </c>
    </row>
    <row r="29" spans="1:15" ht="15.75" x14ac:dyDescent="0.3">
      <c r="A29" s="5" t="s">
        <v>69</v>
      </c>
      <c r="B29" s="5" t="s">
        <v>119</v>
      </c>
      <c r="C29" s="95" t="s">
        <v>56</v>
      </c>
      <c r="D29" s="94" t="s">
        <v>139</v>
      </c>
      <c r="E29" s="94" t="s">
        <v>139</v>
      </c>
      <c r="F29" s="94" t="s">
        <v>139</v>
      </c>
      <c r="G29" s="94" t="s">
        <v>139</v>
      </c>
      <c r="H29" s="94">
        <v>0.01</v>
      </c>
      <c r="I29" s="94">
        <v>0.19</v>
      </c>
      <c r="J29" s="94" t="s">
        <v>139</v>
      </c>
      <c r="K29" s="94" t="s">
        <v>139</v>
      </c>
      <c r="L29" s="94">
        <v>0.61</v>
      </c>
      <c r="M29" s="94">
        <v>0.19</v>
      </c>
      <c r="N29" s="94">
        <v>0.09</v>
      </c>
      <c r="O29" s="93">
        <v>0.19</v>
      </c>
    </row>
    <row r="30" spans="1:15" ht="15.75" x14ac:dyDescent="0.3">
      <c r="A30" s="5" t="s">
        <v>69</v>
      </c>
      <c r="B30" s="5" t="s">
        <v>147</v>
      </c>
      <c r="C30" s="229" t="s">
        <v>165</v>
      </c>
      <c r="D30" s="214" t="s">
        <v>139</v>
      </c>
      <c r="E30" s="214" t="s">
        <v>139</v>
      </c>
      <c r="F30" s="214" t="s">
        <v>139</v>
      </c>
      <c r="G30" s="214" t="s">
        <v>139</v>
      </c>
      <c r="H30" s="214">
        <v>0</v>
      </c>
      <c r="I30" s="214">
        <v>7.34</v>
      </c>
      <c r="J30" s="214">
        <v>0.01</v>
      </c>
      <c r="K30" s="214">
        <v>7.34</v>
      </c>
      <c r="L30" s="214">
        <v>0.01</v>
      </c>
      <c r="M30" s="214">
        <v>7.34</v>
      </c>
      <c r="N30" s="214">
        <v>0.01</v>
      </c>
      <c r="O30" s="216">
        <v>7.34</v>
      </c>
    </row>
    <row r="31" spans="1:15" ht="15.75" x14ac:dyDescent="0.3">
      <c r="A31" s="5" t="s">
        <v>69</v>
      </c>
      <c r="B31" s="5" t="s">
        <v>49</v>
      </c>
      <c r="C31" s="229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6"/>
    </row>
    <row r="32" spans="1:15" ht="15.75" x14ac:dyDescent="0.3">
      <c r="A32" s="5" t="s">
        <v>89</v>
      </c>
      <c r="B32" s="5" t="s">
        <v>49</v>
      </c>
      <c r="C32" s="95" t="s">
        <v>61</v>
      </c>
      <c r="D32" s="94" t="s">
        <v>139</v>
      </c>
      <c r="E32" s="94" t="s">
        <v>139</v>
      </c>
      <c r="F32" s="94">
        <v>0.02</v>
      </c>
      <c r="G32" s="94">
        <v>6.05</v>
      </c>
      <c r="H32" s="94">
        <v>0.02</v>
      </c>
      <c r="I32" s="94">
        <v>6.05</v>
      </c>
      <c r="J32" s="94">
        <v>0.03</v>
      </c>
      <c r="K32" s="94">
        <v>6.05</v>
      </c>
      <c r="L32" s="94">
        <v>0.02</v>
      </c>
      <c r="M32" s="94">
        <v>6.05</v>
      </c>
      <c r="N32" s="94">
        <v>0.02</v>
      </c>
      <c r="O32" s="93">
        <v>6.05</v>
      </c>
    </row>
    <row r="33" spans="1:15" ht="15.75" x14ac:dyDescent="0.3">
      <c r="A33" s="5" t="s">
        <v>89</v>
      </c>
      <c r="B33" s="5" t="s">
        <v>49</v>
      </c>
      <c r="C33" s="95" t="s">
        <v>58</v>
      </c>
      <c r="D33" s="94">
        <v>0.01</v>
      </c>
      <c r="E33" s="94">
        <v>3.87</v>
      </c>
      <c r="F33" s="94">
        <v>0.02</v>
      </c>
      <c r="G33" s="94">
        <v>3.87</v>
      </c>
      <c r="H33" s="94">
        <v>0.03</v>
      </c>
      <c r="I33" s="94">
        <v>3.87</v>
      </c>
      <c r="J33" s="94">
        <v>0.03</v>
      </c>
      <c r="K33" s="94">
        <v>3.87</v>
      </c>
      <c r="L33" s="94">
        <v>0.01</v>
      </c>
      <c r="M33" s="94">
        <v>3.87</v>
      </c>
      <c r="N33" s="94">
        <v>0.03</v>
      </c>
      <c r="O33" s="93">
        <v>3.87</v>
      </c>
    </row>
    <row r="34" spans="1:15" ht="15.75" x14ac:dyDescent="0.3">
      <c r="A34" s="5" t="s">
        <v>89</v>
      </c>
      <c r="B34" s="5" t="s">
        <v>49</v>
      </c>
      <c r="C34" s="95" t="s">
        <v>57</v>
      </c>
      <c r="D34" s="94" t="s">
        <v>139</v>
      </c>
      <c r="E34" s="94" t="s">
        <v>139</v>
      </c>
      <c r="F34" s="94">
        <v>0</v>
      </c>
      <c r="G34" s="94">
        <v>4.82</v>
      </c>
      <c r="H34" s="94" t="s">
        <v>139</v>
      </c>
      <c r="I34" s="94" t="s">
        <v>139</v>
      </c>
      <c r="J34" s="94" t="s">
        <v>139</v>
      </c>
      <c r="K34" s="94" t="s">
        <v>139</v>
      </c>
      <c r="L34" s="94" t="s">
        <v>139</v>
      </c>
      <c r="M34" s="94" t="s">
        <v>139</v>
      </c>
      <c r="N34" s="94">
        <v>0</v>
      </c>
      <c r="O34" s="93">
        <v>4.82</v>
      </c>
    </row>
    <row r="35" spans="1:15" ht="15.75" x14ac:dyDescent="0.3">
      <c r="A35" s="5" t="s">
        <v>89</v>
      </c>
      <c r="B35" s="5" t="s">
        <v>50</v>
      </c>
      <c r="C35" s="95" t="s">
        <v>163</v>
      </c>
      <c r="D35" s="94">
        <v>0</v>
      </c>
      <c r="E35" s="94">
        <v>2.87</v>
      </c>
      <c r="F35" s="94" t="s">
        <v>139</v>
      </c>
      <c r="G35" s="94" t="s">
        <v>139</v>
      </c>
      <c r="H35" s="94" t="s">
        <v>139</v>
      </c>
      <c r="I35" s="94" t="s">
        <v>139</v>
      </c>
      <c r="J35" s="94" t="s">
        <v>139</v>
      </c>
      <c r="K35" s="94" t="s">
        <v>139</v>
      </c>
      <c r="L35" s="94" t="s">
        <v>139</v>
      </c>
      <c r="M35" s="94" t="s">
        <v>139</v>
      </c>
      <c r="N35" s="94">
        <v>0</v>
      </c>
      <c r="O35" s="93">
        <v>2.87</v>
      </c>
    </row>
    <row r="36" spans="1:15" ht="15.75" x14ac:dyDescent="0.3">
      <c r="A36" s="5" t="s">
        <v>99</v>
      </c>
      <c r="B36" s="5" t="s">
        <v>50</v>
      </c>
      <c r="C36" s="95" t="s">
        <v>60</v>
      </c>
      <c r="D36" s="94">
        <v>0.05</v>
      </c>
      <c r="E36" s="94">
        <v>11.27</v>
      </c>
      <c r="F36" s="94">
        <v>0.05</v>
      </c>
      <c r="G36" s="94">
        <v>11.22</v>
      </c>
      <c r="H36" s="94">
        <v>0.06</v>
      </c>
      <c r="I36" s="94">
        <v>11.22</v>
      </c>
      <c r="J36" s="94">
        <v>0.09</v>
      </c>
      <c r="K36" s="94">
        <v>11.23</v>
      </c>
      <c r="L36" s="94">
        <v>0.02</v>
      </c>
      <c r="M36" s="94">
        <v>11.13</v>
      </c>
      <c r="N36" s="94">
        <v>0.05</v>
      </c>
      <c r="O36" s="93">
        <v>11.22</v>
      </c>
    </row>
    <row r="37" spans="1:15" ht="15.75" x14ac:dyDescent="0.3">
      <c r="A37" s="5" t="s">
        <v>99</v>
      </c>
      <c r="B37" s="5" t="s">
        <v>50</v>
      </c>
      <c r="C37" s="95" t="s">
        <v>166</v>
      </c>
      <c r="D37" s="94">
        <v>0</v>
      </c>
      <c r="E37" s="94">
        <v>0.74</v>
      </c>
      <c r="F37" s="94" t="s">
        <v>139</v>
      </c>
      <c r="G37" s="94" t="s">
        <v>139</v>
      </c>
      <c r="H37" s="94" t="s">
        <v>139</v>
      </c>
      <c r="I37" s="94" t="s">
        <v>139</v>
      </c>
      <c r="J37" s="94" t="s">
        <v>139</v>
      </c>
      <c r="K37" s="94" t="s">
        <v>139</v>
      </c>
      <c r="L37" s="94" t="s">
        <v>139</v>
      </c>
      <c r="M37" s="94" t="s">
        <v>139</v>
      </c>
      <c r="N37" s="94">
        <v>0</v>
      </c>
      <c r="O37" s="93">
        <v>0.74</v>
      </c>
    </row>
    <row r="38" spans="1:15" ht="15.75" x14ac:dyDescent="0.3">
      <c r="A38" s="5" t="s">
        <v>99</v>
      </c>
      <c r="B38" s="5" t="s">
        <v>50</v>
      </c>
      <c r="C38" s="95" t="s">
        <v>62</v>
      </c>
      <c r="D38" s="94" t="s">
        <v>139</v>
      </c>
      <c r="E38" s="94" t="s">
        <v>139</v>
      </c>
      <c r="F38" s="94">
        <v>0</v>
      </c>
      <c r="G38" s="94">
        <v>1.72</v>
      </c>
      <c r="H38" s="94" t="s">
        <v>139</v>
      </c>
      <c r="I38" s="94" t="s">
        <v>139</v>
      </c>
      <c r="J38" s="94" t="s">
        <v>139</v>
      </c>
      <c r="K38" s="94" t="s">
        <v>139</v>
      </c>
      <c r="L38" s="94" t="s">
        <v>139</v>
      </c>
      <c r="M38" s="94" t="s">
        <v>139</v>
      </c>
      <c r="N38" s="94">
        <v>0</v>
      </c>
      <c r="O38" s="93">
        <v>1.72</v>
      </c>
    </row>
    <row r="39" spans="1:15" ht="16.5" thickBot="1" x14ac:dyDescent="0.35">
      <c r="A39" s="17" t="s">
        <v>101</v>
      </c>
      <c r="B39" s="5" t="s">
        <v>50</v>
      </c>
      <c r="C39" s="95" t="s">
        <v>61</v>
      </c>
      <c r="D39" s="94">
        <v>0.19</v>
      </c>
      <c r="E39" s="94">
        <v>6.33</v>
      </c>
      <c r="F39" s="94">
        <v>0.31</v>
      </c>
      <c r="G39" s="94">
        <v>1.49</v>
      </c>
      <c r="H39" s="94">
        <v>0.43</v>
      </c>
      <c r="I39" s="94">
        <v>1.1200000000000001</v>
      </c>
      <c r="J39" s="94">
        <v>0.62</v>
      </c>
      <c r="K39" s="94">
        <v>-1.1499999999999999</v>
      </c>
      <c r="L39" s="94">
        <v>0.37</v>
      </c>
      <c r="M39" s="94">
        <v>0.54</v>
      </c>
      <c r="N39" s="94">
        <v>0.39</v>
      </c>
      <c r="O39" s="93">
        <v>0.91</v>
      </c>
    </row>
    <row r="40" spans="1:15" ht="16.5" thickBot="1" x14ac:dyDescent="0.35">
      <c r="B40" s="17" t="s">
        <v>50</v>
      </c>
      <c r="C40" s="18" t="s">
        <v>57</v>
      </c>
      <c r="D40" s="62">
        <v>0.41</v>
      </c>
      <c r="E40" s="62">
        <v>7.0000000000000007E-2</v>
      </c>
      <c r="F40" s="62">
        <v>0.17</v>
      </c>
      <c r="G40" s="62">
        <v>7.0000000000000007E-2</v>
      </c>
      <c r="H40" s="62">
        <v>0.19</v>
      </c>
      <c r="I40" s="62">
        <v>0.13</v>
      </c>
      <c r="J40" s="62">
        <v>0.39</v>
      </c>
      <c r="K40" s="62">
        <v>0.12</v>
      </c>
      <c r="L40" s="62">
        <v>1.19</v>
      </c>
      <c r="M40" s="62">
        <v>0.13</v>
      </c>
      <c r="N40" s="62">
        <v>0.4</v>
      </c>
      <c r="O40" s="61">
        <v>0.11</v>
      </c>
    </row>
  </sheetData>
  <mergeCells count="39">
    <mergeCell ref="H1:H2"/>
    <mergeCell ref="C1:C2"/>
    <mergeCell ref="D1:D2"/>
    <mergeCell ref="E1:E2"/>
    <mergeCell ref="F1:F2"/>
    <mergeCell ref="G1:G2"/>
    <mergeCell ref="O1:O2"/>
    <mergeCell ref="I1:I2"/>
    <mergeCell ref="J1:J2"/>
    <mergeCell ref="K1:K2"/>
    <mergeCell ref="L1:L2"/>
    <mergeCell ref="M1:M2"/>
    <mergeCell ref="N1:N2"/>
    <mergeCell ref="J26:J27"/>
    <mergeCell ref="K26:K27"/>
    <mergeCell ref="L26:L27"/>
    <mergeCell ref="M26:M27"/>
    <mergeCell ref="N26:N27"/>
    <mergeCell ref="E26:E27"/>
    <mergeCell ref="F26:F27"/>
    <mergeCell ref="G26:G27"/>
    <mergeCell ref="H26:H27"/>
    <mergeCell ref="I26:I27"/>
    <mergeCell ref="O26:O27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C26:C27"/>
    <mergeCell ref="D26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6" tint="0.59999389629810485"/>
  </sheetPr>
  <dimension ref="A1:J61"/>
  <sheetViews>
    <sheetView workbookViewId="0">
      <selection activeCell="A2" sqref="A2"/>
    </sheetView>
  </sheetViews>
  <sheetFormatPr baseColWidth="10" defaultRowHeight="15" x14ac:dyDescent="0.25"/>
  <cols>
    <col min="1" max="1" width="66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</cols>
  <sheetData>
    <row r="1" spans="1:10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</row>
    <row r="2" spans="1:10" x14ac:dyDescent="0.25">
      <c r="A2" s="137" t="s">
        <v>63</v>
      </c>
      <c r="B2" s="137" t="s">
        <v>28</v>
      </c>
      <c r="C2" s="138"/>
      <c r="D2" s="138">
        <v>1.3</v>
      </c>
      <c r="E2" s="138"/>
      <c r="F2" s="138"/>
      <c r="G2" s="138"/>
      <c r="H2" s="138">
        <v>979.27</v>
      </c>
      <c r="I2" s="138">
        <v>0.56999999999999995</v>
      </c>
      <c r="J2" s="138">
        <v>659216.28</v>
      </c>
    </row>
    <row r="3" spans="1:10" x14ac:dyDescent="0.25">
      <c r="A3" s="139" t="s">
        <v>67</v>
      </c>
      <c r="B3" s="139" t="s">
        <v>28</v>
      </c>
      <c r="C3" s="140"/>
      <c r="D3" s="140">
        <v>6.67</v>
      </c>
      <c r="E3" s="140"/>
      <c r="F3" s="140"/>
      <c r="G3" s="140"/>
      <c r="H3" s="140">
        <v>7033.68</v>
      </c>
      <c r="I3" s="140">
        <v>4.07</v>
      </c>
      <c r="J3" s="140">
        <v>4734861.67</v>
      </c>
    </row>
    <row r="4" spans="1:10" x14ac:dyDescent="0.25">
      <c r="A4" s="137" t="s">
        <v>83</v>
      </c>
      <c r="B4" s="137" t="s">
        <v>28</v>
      </c>
      <c r="C4" s="138"/>
      <c r="D4" s="138">
        <v>0.02</v>
      </c>
      <c r="E4" s="138"/>
      <c r="F4" s="138"/>
      <c r="G4" s="138"/>
      <c r="H4" s="138">
        <v>51.01</v>
      </c>
      <c r="I4" s="138">
        <v>0.03</v>
      </c>
      <c r="J4" s="138">
        <v>34341.32</v>
      </c>
    </row>
    <row r="5" spans="1:10" x14ac:dyDescent="0.25">
      <c r="A5" s="139" t="s">
        <v>95</v>
      </c>
      <c r="B5" s="139" t="s">
        <v>28</v>
      </c>
      <c r="C5" s="140"/>
      <c r="D5" s="140">
        <v>2.34</v>
      </c>
      <c r="E5" s="140"/>
      <c r="F5" s="140"/>
      <c r="G5" s="140"/>
      <c r="H5" s="140">
        <v>1221.5899999999999</v>
      </c>
      <c r="I5" s="140">
        <v>0.71</v>
      </c>
      <c r="J5" s="140">
        <v>822338.34</v>
      </c>
    </row>
    <row r="6" spans="1:10" x14ac:dyDescent="0.25">
      <c r="A6" s="137" t="s">
        <v>97</v>
      </c>
      <c r="B6" s="137" t="s">
        <v>28</v>
      </c>
      <c r="C6" s="138"/>
      <c r="D6" s="138">
        <v>0</v>
      </c>
      <c r="E6" s="138"/>
      <c r="F6" s="138"/>
      <c r="G6" s="138"/>
      <c r="H6" s="138">
        <v>8.33</v>
      </c>
      <c r="I6" s="138">
        <v>0</v>
      </c>
      <c r="J6" s="138">
        <v>5609.24</v>
      </c>
    </row>
    <row r="7" spans="1:10" x14ac:dyDescent="0.25">
      <c r="A7" s="139" t="s">
        <v>216</v>
      </c>
      <c r="B7" s="139" t="s">
        <v>28</v>
      </c>
      <c r="C7" s="140"/>
      <c r="D7" s="140">
        <v>10.33</v>
      </c>
      <c r="E7" s="140"/>
      <c r="F7" s="140"/>
      <c r="G7" s="140"/>
      <c r="H7" s="140">
        <v>9293.89</v>
      </c>
      <c r="I7" s="140">
        <v>5.38</v>
      </c>
      <c r="J7" s="140">
        <v>6256366.8399999999</v>
      </c>
    </row>
    <row r="8" spans="1:10" x14ac:dyDescent="0.25">
      <c r="A8" s="137" t="s">
        <v>127</v>
      </c>
      <c r="B8" s="137" t="s">
        <v>28</v>
      </c>
      <c r="C8" s="138"/>
      <c r="D8" s="138">
        <v>0</v>
      </c>
      <c r="E8" s="138"/>
      <c r="F8" s="138"/>
      <c r="G8" s="138"/>
      <c r="H8" s="138">
        <v>12.09</v>
      </c>
      <c r="I8" s="138">
        <v>0.01</v>
      </c>
      <c r="J8" s="138">
        <v>8138.4</v>
      </c>
    </row>
    <row r="9" spans="1:10" x14ac:dyDescent="0.25">
      <c r="A9" s="139" t="s">
        <v>77</v>
      </c>
      <c r="B9" s="139" t="s">
        <v>28</v>
      </c>
      <c r="C9" s="140"/>
      <c r="D9" s="140">
        <v>12.81</v>
      </c>
      <c r="E9" s="140"/>
      <c r="F9" s="140"/>
      <c r="G9" s="140"/>
      <c r="H9" s="140">
        <v>12709.18</v>
      </c>
      <c r="I9" s="140">
        <v>7.35</v>
      </c>
      <c r="J9" s="140">
        <v>8555438.5800000001</v>
      </c>
    </row>
    <row r="10" spans="1:10" x14ac:dyDescent="0.25">
      <c r="A10" s="137" t="s">
        <v>79</v>
      </c>
      <c r="B10" s="137" t="s">
        <v>28</v>
      </c>
      <c r="C10" s="138"/>
      <c r="D10" s="138">
        <v>19.16</v>
      </c>
      <c r="E10" s="138"/>
      <c r="F10" s="138"/>
      <c r="G10" s="138"/>
      <c r="H10" s="138">
        <v>20946.48</v>
      </c>
      <c r="I10" s="138">
        <v>12.12</v>
      </c>
      <c r="J10" s="138">
        <v>14100544.699999999</v>
      </c>
    </row>
    <row r="11" spans="1:10" x14ac:dyDescent="0.25">
      <c r="A11" s="139" t="s">
        <v>217</v>
      </c>
      <c r="B11" s="139" t="s">
        <v>28</v>
      </c>
      <c r="C11" s="140"/>
      <c r="D11" s="140">
        <v>31.98</v>
      </c>
      <c r="E11" s="140"/>
      <c r="F11" s="140"/>
      <c r="G11" s="140"/>
      <c r="H11" s="140">
        <v>33667.75</v>
      </c>
      <c r="I11" s="140">
        <v>19.48</v>
      </c>
      <c r="J11" s="140">
        <v>22664121.68</v>
      </c>
    </row>
    <row r="12" spans="1:10" x14ac:dyDescent="0.25">
      <c r="A12" s="137" t="s">
        <v>73</v>
      </c>
      <c r="B12" s="137" t="s">
        <v>28</v>
      </c>
      <c r="C12" s="138"/>
      <c r="D12" s="138">
        <v>0.15</v>
      </c>
      <c r="E12" s="138"/>
      <c r="F12" s="138"/>
      <c r="G12" s="138"/>
      <c r="H12" s="138">
        <v>237.66</v>
      </c>
      <c r="I12" s="138">
        <v>0.14000000000000001</v>
      </c>
      <c r="J12" s="138">
        <v>159983.76</v>
      </c>
    </row>
    <row r="13" spans="1:10" x14ac:dyDescent="0.25">
      <c r="A13" s="139" t="s">
        <v>81</v>
      </c>
      <c r="B13" s="139" t="s">
        <v>28</v>
      </c>
      <c r="C13" s="140"/>
      <c r="D13" s="140">
        <v>0.02</v>
      </c>
      <c r="E13" s="140"/>
      <c r="F13" s="140"/>
      <c r="G13" s="140"/>
      <c r="H13" s="140">
        <v>26.12</v>
      </c>
      <c r="I13" s="140">
        <v>0.02</v>
      </c>
      <c r="J13" s="140">
        <v>17580.88</v>
      </c>
    </row>
    <row r="14" spans="1:10" x14ac:dyDescent="0.25">
      <c r="A14" s="137" t="s">
        <v>218</v>
      </c>
      <c r="B14" s="137" t="s">
        <v>28</v>
      </c>
      <c r="C14" s="138"/>
      <c r="D14" s="138">
        <v>0.16</v>
      </c>
      <c r="E14" s="138"/>
      <c r="F14" s="138"/>
      <c r="G14" s="138"/>
      <c r="H14" s="138">
        <v>263.77</v>
      </c>
      <c r="I14" s="138">
        <v>0.15</v>
      </c>
      <c r="J14" s="138">
        <v>177564.64</v>
      </c>
    </row>
    <row r="15" spans="1:10" x14ac:dyDescent="0.25">
      <c r="A15" s="139" t="s">
        <v>40</v>
      </c>
      <c r="B15" s="139" t="s">
        <v>28</v>
      </c>
      <c r="C15" s="140"/>
      <c r="D15" s="140">
        <v>42.47</v>
      </c>
      <c r="E15" s="140"/>
      <c r="F15" s="140"/>
      <c r="G15" s="140"/>
      <c r="H15" s="140">
        <v>43225.42</v>
      </c>
      <c r="I15" s="140">
        <v>25.01</v>
      </c>
      <c r="J15" s="140">
        <v>29098053.16</v>
      </c>
    </row>
    <row r="16" spans="1:10" x14ac:dyDescent="0.25">
      <c r="A16" s="137" t="s">
        <v>228</v>
      </c>
      <c r="B16" s="137" t="s">
        <v>28</v>
      </c>
      <c r="C16" s="138"/>
      <c r="D16" s="138">
        <v>0.21</v>
      </c>
      <c r="E16" s="138"/>
      <c r="F16" s="138"/>
      <c r="G16" s="138"/>
      <c r="H16" s="138">
        <v>1289.77</v>
      </c>
      <c r="I16" s="138">
        <v>0.75</v>
      </c>
      <c r="J16" s="138">
        <v>868234.4</v>
      </c>
    </row>
    <row r="17" spans="1:10" x14ac:dyDescent="0.25">
      <c r="A17" s="139" t="s">
        <v>71</v>
      </c>
      <c r="B17" s="139" t="s">
        <v>28</v>
      </c>
      <c r="C17" s="140"/>
      <c r="D17" s="140">
        <v>15.46</v>
      </c>
      <c r="E17" s="140"/>
      <c r="F17" s="140"/>
      <c r="G17" s="140"/>
      <c r="H17" s="140">
        <v>16743.09</v>
      </c>
      <c r="I17" s="140">
        <v>9.69</v>
      </c>
      <c r="J17" s="140">
        <v>11270948.99</v>
      </c>
    </row>
    <row r="18" spans="1:10" x14ac:dyDescent="0.25">
      <c r="A18" s="137" t="s">
        <v>153</v>
      </c>
      <c r="B18" s="137" t="s">
        <v>28</v>
      </c>
      <c r="C18" s="138"/>
      <c r="D18" s="138">
        <v>0.04</v>
      </c>
      <c r="E18" s="138"/>
      <c r="F18" s="138"/>
      <c r="G18" s="138"/>
      <c r="H18" s="138">
        <v>129.72999999999999</v>
      </c>
      <c r="I18" s="138">
        <v>0.08</v>
      </c>
      <c r="J18" s="138">
        <v>87331.8</v>
      </c>
    </row>
    <row r="19" spans="1:10" x14ac:dyDescent="0.25">
      <c r="A19" s="139" t="s">
        <v>75</v>
      </c>
      <c r="B19" s="139" t="s">
        <v>28</v>
      </c>
      <c r="C19" s="140"/>
      <c r="D19" s="140">
        <v>2.09</v>
      </c>
      <c r="E19" s="140"/>
      <c r="F19" s="140"/>
      <c r="G19" s="140"/>
      <c r="H19" s="140">
        <v>2743.7</v>
      </c>
      <c r="I19" s="140">
        <v>1.59</v>
      </c>
      <c r="J19" s="140">
        <v>1846977.07</v>
      </c>
    </row>
    <row r="20" spans="1:10" x14ac:dyDescent="0.25">
      <c r="A20" s="137" t="s">
        <v>87</v>
      </c>
      <c r="B20" s="137" t="s">
        <v>28</v>
      </c>
      <c r="C20" s="138"/>
      <c r="D20" s="138">
        <v>19.93</v>
      </c>
      <c r="E20" s="138"/>
      <c r="F20" s="138"/>
      <c r="G20" s="138"/>
      <c r="H20" s="138">
        <v>11591.28</v>
      </c>
      <c r="I20" s="138">
        <v>6.71</v>
      </c>
      <c r="J20" s="138">
        <v>7802905.0499999998</v>
      </c>
    </row>
    <row r="21" spans="1:10" x14ac:dyDescent="0.25">
      <c r="A21" s="139" t="s">
        <v>93</v>
      </c>
      <c r="B21" s="139" t="s">
        <v>28</v>
      </c>
      <c r="C21" s="140"/>
      <c r="D21" s="140">
        <v>0.33</v>
      </c>
      <c r="E21" s="140"/>
      <c r="F21" s="140"/>
      <c r="G21" s="140"/>
      <c r="H21" s="140">
        <v>768.23</v>
      </c>
      <c r="I21" s="140">
        <v>0.44</v>
      </c>
      <c r="J21" s="140">
        <v>517148.41</v>
      </c>
    </row>
    <row r="22" spans="1:10" x14ac:dyDescent="0.25">
      <c r="A22" s="137" t="s">
        <v>229</v>
      </c>
      <c r="B22" s="137" t="s">
        <v>28</v>
      </c>
      <c r="C22" s="138"/>
      <c r="D22" s="138">
        <v>0.02</v>
      </c>
      <c r="E22" s="138"/>
      <c r="F22" s="138"/>
      <c r="G22" s="138"/>
      <c r="H22" s="138">
        <v>3.49</v>
      </c>
      <c r="I22" s="138">
        <v>0</v>
      </c>
      <c r="J22" s="138">
        <v>2350.4899999999998</v>
      </c>
    </row>
    <row r="23" spans="1:10" x14ac:dyDescent="0.25">
      <c r="A23" s="139" t="s">
        <v>230</v>
      </c>
      <c r="B23" s="139" t="s">
        <v>28</v>
      </c>
      <c r="C23" s="140"/>
      <c r="D23" s="140">
        <v>0.08</v>
      </c>
      <c r="E23" s="140"/>
      <c r="F23" s="140"/>
      <c r="G23" s="140"/>
      <c r="H23" s="140">
        <v>158.24</v>
      </c>
      <c r="I23" s="140">
        <v>0.09</v>
      </c>
      <c r="J23" s="140">
        <v>106522.78</v>
      </c>
    </row>
    <row r="24" spans="1:10" x14ac:dyDescent="0.25">
      <c r="A24" s="137" t="s">
        <v>48</v>
      </c>
      <c r="B24" s="137" t="s">
        <v>28</v>
      </c>
      <c r="C24" s="138"/>
      <c r="D24" s="138">
        <v>38.159999999999997</v>
      </c>
      <c r="E24" s="138"/>
      <c r="F24" s="138"/>
      <c r="G24" s="138"/>
      <c r="H24" s="138">
        <v>33427.54</v>
      </c>
      <c r="I24" s="138">
        <v>19.34</v>
      </c>
      <c r="J24" s="138">
        <v>22502418.989999998</v>
      </c>
    </row>
    <row r="25" spans="1:10" x14ac:dyDescent="0.25">
      <c r="A25" s="139" t="s">
        <v>228</v>
      </c>
      <c r="B25" s="139" t="s">
        <v>28</v>
      </c>
      <c r="C25" s="140"/>
      <c r="D25" s="140">
        <v>0.9</v>
      </c>
      <c r="E25" s="140"/>
      <c r="F25" s="140"/>
      <c r="G25" s="140"/>
      <c r="H25" s="140">
        <v>12333.64</v>
      </c>
      <c r="I25" s="140">
        <v>7.14</v>
      </c>
      <c r="J25" s="140">
        <v>8302637.7400000002</v>
      </c>
    </row>
    <row r="26" spans="1:10" x14ac:dyDescent="0.25">
      <c r="A26" s="137" t="s">
        <v>231</v>
      </c>
      <c r="B26" s="137" t="s">
        <v>28</v>
      </c>
      <c r="C26" s="138"/>
      <c r="D26" s="138"/>
      <c r="E26" s="138"/>
      <c r="F26" s="138"/>
      <c r="G26" s="138"/>
      <c r="H26" s="138">
        <v>26.65</v>
      </c>
      <c r="I26" s="138">
        <v>0.02</v>
      </c>
      <c r="J26" s="138">
        <v>17937.349999999999</v>
      </c>
    </row>
    <row r="27" spans="1:10" x14ac:dyDescent="0.25">
      <c r="A27" s="139" t="s">
        <v>172</v>
      </c>
      <c r="B27" s="139" t="s">
        <v>28</v>
      </c>
      <c r="C27" s="140"/>
      <c r="D27" s="140"/>
      <c r="E27" s="140"/>
      <c r="F27" s="140"/>
      <c r="G27" s="140"/>
      <c r="H27" s="140">
        <v>8.56</v>
      </c>
      <c r="I27" s="140">
        <v>0</v>
      </c>
      <c r="J27" s="140">
        <v>5761.62</v>
      </c>
    </row>
    <row r="28" spans="1:10" x14ac:dyDescent="0.25">
      <c r="A28" s="137" t="s">
        <v>65</v>
      </c>
      <c r="B28" s="137" t="s">
        <v>28</v>
      </c>
      <c r="C28" s="138"/>
      <c r="D28" s="138">
        <v>0.04</v>
      </c>
      <c r="E28" s="138"/>
      <c r="F28" s="138"/>
      <c r="G28" s="138"/>
      <c r="H28" s="138">
        <v>48</v>
      </c>
      <c r="I28" s="138">
        <v>0.03</v>
      </c>
      <c r="J28" s="138">
        <v>32309.05</v>
      </c>
    </row>
    <row r="29" spans="1:10" x14ac:dyDescent="0.25">
      <c r="A29" s="139" t="s">
        <v>85</v>
      </c>
      <c r="B29" s="139" t="s">
        <v>28</v>
      </c>
      <c r="C29" s="140"/>
      <c r="D29" s="140">
        <v>7.07</v>
      </c>
      <c r="E29" s="140"/>
      <c r="F29" s="140"/>
      <c r="G29" s="140"/>
      <c r="H29" s="140">
        <v>10503.38</v>
      </c>
      <c r="I29" s="140">
        <v>6.08</v>
      </c>
      <c r="J29" s="140">
        <v>7070561.1799999997</v>
      </c>
    </row>
    <row r="30" spans="1:10" x14ac:dyDescent="0.25">
      <c r="A30" s="137" t="s">
        <v>364</v>
      </c>
      <c r="B30" s="137" t="s">
        <v>28</v>
      </c>
      <c r="C30" s="138"/>
      <c r="D30" s="138">
        <v>0</v>
      </c>
      <c r="E30" s="138"/>
      <c r="F30" s="138"/>
      <c r="G30" s="138"/>
      <c r="H30" s="138">
        <v>0.02</v>
      </c>
      <c r="I30" s="138">
        <v>0</v>
      </c>
      <c r="J30" s="138">
        <v>11.06</v>
      </c>
    </row>
    <row r="31" spans="1:10" x14ac:dyDescent="0.25">
      <c r="A31" s="139" t="s">
        <v>43</v>
      </c>
      <c r="B31" s="139" t="s">
        <v>28</v>
      </c>
      <c r="C31" s="140"/>
      <c r="D31" s="140">
        <v>8.01</v>
      </c>
      <c r="E31" s="140"/>
      <c r="F31" s="140"/>
      <c r="G31" s="140"/>
      <c r="H31" s="140">
        <v>22920.240000000002</v>
      </c>
      <c r="I31" s="140">
        <v>13.26</v>
      </c>
      <c r="J31" s="140">
        <v>15429218.01</v>
      </c>
    </row>
    <row r="32" spans="1:10" x14ac:dyDescent="0.25">
      <c r="A32" s="137" t="s">
        <v>232</v>
      </c>
      <c r="B32" s="137" t="s">
        <v>28</v>
      </c>
      <c r="C32" s="138"/>
      <c r="D32" s="138"/>
      <c r="E32" s="138"/>
      <c r="F32" s="138"/>
      <c r="G32" s="138"/>
      <c r="H32" s="138">
        <v>87.14</v>
      </c>
      <c r="I32" s="138">
        <v>0.05</v>
      </c>
      <c r="J32" s="138">
        <v>58659.23</v>
      </c>
    </row>
    <row r="33" spans="1:10" x14ac:dyDescent="0.25">
      <c r="A33" s="139" t="s">
        <v>233</v>
      </c>
      <c r="B33" s="139" t="s">
        <v>28</v>
      </c>
      <c r="C33" s="140"/>
      <c r="D33" s="140"/>
      <c r="E33" s="140"/>
      <c r="F33" s="140"/>
      <c r="G33" s="140"/>
      <c r="H33" s="140">
        <v>2981.7</v>
      </c>
      <c r="I33" s="140">
        <v>1.72</v>
      </c>
      <c r="J33" s="140">
        <v>2007193.5</v>
      </c>
    </row>
    <row r="34" spans="1:10" x14ac:dyDescent="0.25">
      <c r="A34" s="137" t="s">
        <v>234</v>
      </c>
      <c r="B34" s="137" t="s">
        <v>28</v>
      </c>
      <c r="C34" s="138"/>
      <c r="D34" s="138">
        <v>0.11</v>
      </c>
      <c r="E34" s="138"/>
      <c r="F34" s="138"/>
      <c r="G34" s="138"/>
      <c r="H34" s="138">
        <v>94.22</v>
      </c>
      <c r="I34" s="138">
        <v>0.05</v>
      </c>
      <c r="J34" s="138">
        <v>63425.7</v>
      </c>
    </row>
    <row r="35" spans="1:10" x14ac:dyDescent="0.25">
      <c r="A35" s="139" t="s">
        <v>235</v>
      </c>
      <c r="B35" s="139" t="s">
        <v>28</v>
      </c>
      <c r="C35" s="140"/>
      <c r="D35" s="140">
        <v>0</v>
      </c>
      <c r="E35" s="140"/>
      <c r="F35" s="140"/>
      <c r="G35" s="140"/>
      <c r="H35" s="140">
        <v>18.47</v>
      </c>
      <c r="I35" s="140">
        <v>0.01</v>
      </c>
      <c r="J35" s="140">
        <v>12436.01</v>
      </c>
    </row>
    <row r="36" spans="1:10" x14ac:dyDescent="0.25">
      <c r="A36" s="137" t="s">
        <v>236</v>
      </c>
      <c r="B36" s="137" t="s">
        <v>28</v>
      </c>
      <c r="C36" s="138"/>
      <c r="D36" s="138"/>
      <c r="E36" s="138"/>
      <c r="F36" s="138"/>
      <c r="G36" s="138"/>
      <c r="H36" s="138">
        <v>3.08</v>
      </c>
      <c r="I36" s="138">
        <v>0</v>
      </c>
      <c r="J36" s="138">
        <v>2072.14</v>
      </c>
    </row>
    <row r="37" spans="1:10" x14ac:dyDescent="0.25">
      <c r="A37" s="139" t="s">
        <v>187</v>
      </c>
      <c r="B37" s="139" t="s">
        <v>28</v>
      </c>
      <c r="C37" s="140"/>
      <c r="D37" s="140">
        <v>0.11</v>
      </c>
      <c r="E37" s="140"/>
      <c r="F37" s="140"/>
      <c r="G37" s="140"/>
      <c r="H37" s="140">
        <v>3184.61</v>
      </c>
      <c r="I37" s="140">
        <v>1.84</v>
      </c>
      <c r="J37" s="140">
        <v>2143786.59</v>
      </c>
    </row>
    <row r="38" spans="1:10" x14ac:dyDescent="0.25">
      <c r="A38" s="137" t="s">
        <v>231</v>
      </c>
      <c r="B38" s="137" t="s">
        <v>28</v>
      </c>
      <c r="C38" s="138"/>
      <c r="D38" s="138"/>
      <c r="E38" s="138"/>
      <c r="F38" s="138"/>
      <c r="G38" s="138"/>
      <c r="H38" s="138">
        <v>19.23</v>
      </c>
      <c r="I38" s="138">
        <v>0.01</v>
      </c>
      <c r="J38" s="138">
        <v>12945.92</v>
      </c>
    </row>
    <row r="39" spans="1:10" x14ac:dyDescent="0.25">
      <c r="A39" s="139" t="s">
        <v>237</v>
      </c>
      <c r="B39" s="139" t="s">
        <v>28</v>
      </c>
      <c r="C39" s="140"/>
      <c r="D39" s="140">
        <v>0</v>
      </c>
      <c r="E39" s="140"/>
      <c r="F39" s="140"/>
      <c r="G39" s="140"/>
      <c r="H39" s="140">
        <v>55.46</v>
      </c>
      <c r="I39" s="140">
        <v>0.03</v>
      </c>
      <c r="J39" s="140">
        <v>37336.230000000003</v>
      </c>
    </row>
    <row r="40" spans="1:10" x14ac:dyDescent="0.25">
      <c r="A40" s="137" t="s">
        <v>69</v>
      </c>
      <c r="B40" s="137" t="s">
        <v>28</v>
      </c>
      <c r="C40" s="138"/>
      <c r="D40" s="138">
        <v>0.15</v>
      </c>
      <c r="E40" s="138"/>
      <c r="F40" s="138"/>
      <c r="G40" s="138"/>
      <c r="H40" s="138">
        <v>228.14</v>
      </c>
      <c r="I40" s="138">
        <v>0.13</v>
      </c>
      <c r="J40" s="138">
        <v>153574.06</v>
      </c>
    </row>
    <row r="41" spans="1:10" x14ac:dyDescent="0.25">
      <c r="A41" s="139" t="s">
        <v>238</v>
      </c>
      <c r="B41" s="139" t="s">
        <v>28</v>
      </c>
      <c r="C41" s="140"/>
      <c r="D41" s="140"/>
      <c r="E41" s="140"/>
      <c r="F41" s="140"/>
      <c r="G41" s="140"/>
      <c r="H41" s="140">
        <v>660.2</v>
      </c>
      <c r="I41" s="140">
        <v>0.38</v>
      </c>
      <c r="J41" s="140">
        <v>444428.12</v>
      </c>
    </row>
    <row r="42" spans="1:10" x14ac:dyDescent="0.25">
      <c r="A42" s="137" t="s">
        <v>239</v>
      </c>
      <c r="B42" s="137" t="s">
        <v>28</v>
      </c>
      <c r="C42" s="138"/>
      <c r="D42" s="138"/>
      <c r="E42" s="138"/>
      <c r="F42" s="138"/>
      <c r="G42" s="138"/>
      <c r="H42" s="138">
        <v>3857.51</v>
      </c>
      <c r="I42" s="138">
        <v>2.23</v>
      </c>
      <c r="J42" s="138">
        <v>2596759.0699999998</v>
      </c>
    </row>
    <row r="43" spans="1:10" x14ac:dyDescent="0.25">
      <c r="A43" s="139" t="s">
        <v>240</v>
      </c>
      <c r="B43" s="139" t="s">
        <v>28</v>
      </c>
      <c r="C43" s="140"/>
      <c r="D43" s="140">
        <v>0.2</v>
      </c>
      <c r="E43" s="140"/>
      <c r="F43" s="140"/>
      <c r="G43" s="140"/>
      <c r="H43" s="140">
        <v>290.55</v>
      </c>
      <c r="I43" s="140">
        <v>0.17</v>
      </c>
      <c r="J43" s="140">
        <v>195591.94</v>
      </c>
    </row>
    <row r="44" spans="1:10" x14ac:dyDescent="0.25">
      <c r="A44" s="137" t="s">
        <v>241</v>
      </c>
      <c r="B44" s="137" t="s">
        <v>28</v>
      </c>
      <c r="C44" s="138"/>
      <c r="D44" s="138">
        <v>0</v>
      </c>
      <c r="E44" s="138"/>
      <c r="F44" s="138"/>
      <c r="G44" s="138"/>
      <c r="H44" s="138">
        <v>0</v>
      </c>
      <c r="I44" s="138">
        <v>0</v>
      </c>
      <c r="J44" s="138">
        <v>0</v>
      </c>
    </row>
    <row r="45" spans="1:10" x14ac:dyDescent="0.25">
      <c r="A45" s="139" t="s">
        <v>242</v>
      </c>
      <c r="B45" s="139" t="s">
        <v>28</v>
      </c>
      <c r="C45" s="140"/>
      <c r="D45" s="140"/>
      <c r="E45" s="140"/>
      <c r="F45" s="140"/>
      <c r="G45" s="140"/>
      <c r="H45" s="140">
        <v>2.4700000000000002</v>
      </c>
      <c r="I45" s="140">
        <v>0</v>
      </c>
      <c r="J45" s="140">
        <v>1664.72</v>
      </c>
    </row>
    <row r="46" spans="1:10" x14ac:dyDescent="0.25">
      <c r="A46" s="137" t="s">
        <v>243</v>
      </c>
      <c r="B46" s="137" t="s">
        <v>28</v>
      </c>
      <c r="C46" s="138"/>
      <c r="D46" s="138">
        <v>3.02</v>
      </c>
      <c r="E46" s="138"/>
      <c r="F46" s="138"/>
      <c r="G46" s="138"/>
      <c r="H46" s="138">
        <v>20758.669999999998</v>
      </c>
      <c r="I46" s="138">
        <v>12.01</v>
      </c>
      <c r="J46" s="138">
        <v>13974116.710000001</v>
      </c>
    </row>
    <row r="47" spans="1:10" x14ac:dyDescent="0.25">
      <c r="A47" s="139" t="s">
        <v>244</v>
      </c>
      <c r="B47" s="139" t="s">
        <v>28</v>
      </c>
      <c r="C47" s="140"/>
      <c r="D47" s="140"/>
      <c r="E47" s="140"/>
      <c r="F47" s="140"/>
      <c r="G47" s="140"/>
      <c r="H47" s="140">
        <v>29902.09</v>
      </c>
      <c r="I47" s="140">
        <v>17.3</v>
      </c>
      <c r="J47" s="140">
        <v>20129188.02</v>
      </c>
    </row>
    <row r="48" spans="1:10" x14ac:dyDescent="0.25">
      <c r="A48" s="137" t="s">
        <v>89</v>
      </c>
      <c r="B48" s="137" t="s">
        <v>28</v>
      </c>
      <c r="C48" s="138"/>
      <c r="D48" s="138">
        <v>6.15</v>
      </c>
      <c r="E48" s="138"/>
      <c r="F48" s="138"/>
      <c r="G48" s="138"/>
      <c r="H48" s="138">
        <v>6299.11</v>
      </c>
      <c r="I48" s="138">
        <v>3.64</v>
      </c>
      <c r="J48" s="138">
        <v>4240372.7300000004</v>
      </c>
    </row>
    <row r="49" spans="1:10" x14ac:dyDescent="0.25">
      <c r="A49" s="139" t="s">
        <v>245</v>
      </c>
      <c r="B49" s="139" t="s">
        <v>28</v>
      </c>
      <c r="C49" s="140"/>
      <c r="D49" s="140">
        <v>1.22</v>
      </c>
      <c r="E49" s="140"/>
      <c r="F49" s="140"/>
      <c r="G49" s="140"/>
      <c r="H49" s="140">
        <v>6817.94</v>
      </c>
      <c r="I49" s="140">
        <v>3.94</v>
      </c>
      <c r="J49" s="140">
        <v>4589634.28</v>
      </c>
    </row>
    <row r="50" spans="1:10" x14ac:dyDescent="0.25">
      <c r="A50" s="137" t="s">
        <v>246</v>
      </c>
      <c r="B50" s="137" t="s">
        <v>28</v>
      </c>
      <c r="C50" s="138"/>
      <c r="D50" s="138">
        <v>0.2</v>
      </c>
      <c r="E50" s="138"/>
      <c r="F50" s="138"/>
      <c r="G50" s="138"/>
      <c r="H50" s="138">
        <v>235.44</v>
      </c>
      <c r="I50" s="138">
        <v>0.14000000000000001</v>
      </c>
      <c r="J50" s="138">
        <v>158493.76000000001</v>
      </c>
    </row>
    <row r="51" spans="1:10" x14ac:dyDescent="0.25">
      <c r="A51" s="139" t="s">
        <v>247</v>
      </c>
      <c r="B51" s="139" t="s">
        <v>28</v>
      </c>
      <c r="C51" s="140"/>
      <c r="D51" s="140"/>
      <c r="E51" s="140"/>
      <c r="F51" s="140"/>
      <c r="G51" s="140"/>
      <c r="H51" s="140">
        <v>0.21</v>
      </c>
      <c r="I51" s="140">
        <v>0</v>
      </c>
      <c r="J51" s="140">
        <v>143.07</v>
      </c>
    </row>
    <row r="52" spans="1:10" x14ac:dyDescent="0.25">
      <c r="A52" s="137" t="s">
        <v>99</v>
      </c>
      <c r="B52" s="137" t="s">
        <v>28</v>
      </c>
      <c r="C52" s="138"/>
      <c r="D52" s="138">
        <v>0.06</v>
      </c>
      <c r="E52" s="138"/>
      <c r="F52" s="138"/>
      <c r="G52" s="138"/>
      <c r="H52" s="138">
        <v>67.14</v>
      </c>
      <c r="I52" s="138">
        <v>0.04</v>
      </c>
      <c r="J52" s="138">
        <v>45196.28</v>
      </c>
    </row>
    <row r="53" spans="1:10" x14ac:dyDescent="0.25">
      <c r="A53" s="139" t="s">
        <v>248</v>
      </c>
      <c r="B53" s="139" t="s">
        <v>28</v>
      </c>
      <c r="C53" s="140"/>
      <c r="D53" s="140">
        <v>0.02</v>
      </c>
      <c r="E53" s="140"/>
      <c r="F53" s="140"/>
      <c r="G53" s="140"/>
      <c r="H53" s="140">
        <v>44.55</v>
      </c>
      <c r="I53" s="140">
        <v>0.03</v>
      </c>
      <c r="J53" s="140">
        <v>29992.78</v>
      </c>
    </row>
    <row r="54" spans="1:10" x14ac:dyDescent="0.25">
      <c r="A54" s="137" t="s">
        <v>249</v>
      </c>
      <c r="B54" s="137" t="s">
        <v>28</v>
      </c>
      <c r="C54" s="138"/>
      <c r="D54" s="138">
        <v>0.01</v>
      </c>
      <c r="E54" s="138"/>
      <c r="F54" s="138"/>
      <c r="G54" s="138"/>
      <c r="H54" s="138">
        <v>-18.57</v>
      </c>
      <c r="I54" s="138">
        <v>-0.01</v>
      </c>
      <c r="J54" s="138">
        <v>-12497.63</v>
      </c>
    </row>
    <row r="55" spans="1:10" x14ac:dyDescent="0.25">
      <c r="A55" s="139" t="s">
        <v>52</v>
      </c>
      <c r="B55" s="139" t="s">
        <v>28</v>
      </c>
      <c r="C55" s="140"/>
      <c r="D55" s="140">
        <v>11.03</v>
      </c>
      <c r="E55" s="140"/>
      <c r="F55" s="140"/>
      <c r="G55" s="140"/>
      <c r="H55" s="140">
        <v>69220.17</v>
      </c>
      <c r="I55" s="140">
        <v>40.04</v>
      </c>
      <c r="J55" s="140">
        <v>46596940.07</v>
      </c>
    </row>
    <row r="56" spans="1:10" x14ac:dyDescent="0.25">
      <c r="A56" s="137" t="s">
        <v>250</v>
      </c>
      <c r="B56" s="137" t="s">
        <v>28</v>
      </c>
      <c r="C56" s="138"/>
      <c r="D56" s="138">
        <v>7.0000000000000007E-2</v>
      </c>
      <c r="E56" s="138"/>
      <c r="F56" s="138"/>
      <c r="G56" s="138"/>
      <c r="H56" s="138">
        <v>452.71</v>
      </c>
      <c r="I56" s="138">
        <v>0.26</v>
      </c>
      <c r="J56" s="138">
        <v>304750.09000000003</v>
      </c>
    </row>
    <row r="57" spans="1:10" x14ac:dyDescent="0.25">
      <c r="A57" s="139" t="s">
        <v>251</v>
      </c>
      <c r="B57" s="139" t="s">
        <v>28</v>
      </c>
      <c r="C57" s="140"/>
      <c r="D57" s="140">
        <v>0.08</v>
      </c>
      <c r="E57" s="140"/>
      <c r="F57" s="140"/>
      <c r="G57" s="140"/>
      <c r="H57" s="140">
        <v>370.06</v>
      </c>
      <c r="I57" s="140">
        <v>0.21</v>
      </c>
      <c r="J57" s="140">
        <v>249112.73</v>
      </c>
    </row>
    <row r="58" spans="1:10" x14ac:dyDescent="0.25">
      <c r="A58" s="137" t="s">
        <v>252</v>
      </c>
      <c r="B58" s="137" t="s">
        <v>28</v>
      </c>
      <c r="C58" s="138"/>
      <c r="D58" s="138">
        <v>0.06</v>
      </c>
      <c r="E58" s="138"/>
      <c r="F58" s="138"/>
      <c r="G58" s="138"/>
      <c r="H58" s="138">
        <v>59.83</v>
      </c>
      <c r="I58" s="138">
        <v>0.03</v>
      </c>
      <c r="J58" s="138">
        <v>40274.9</v>
      </c>
    </row>
    <row r="59" spans="1:10" x14ac:dyDescent="0.25">
      <c r="A59" s="139" t="s">
        <v>204</v>
      </c>
      <c r="B59" s="139" t="s">
        <v>28</v>
      </c>
      <c r="C59" s="140"/>
      <c r="D59" s="140">
        <v>0.21</v>
      </c>
      <c r="E59" s="140"/>
      <c r="F59" s="140"/>
      <c r="G59" s="140"/>
      <c r="H59" s="140">
        <v>882.6</v>
      </c>
      <c r="I59" s="140">
        <v>0.51</v>
      </c>
      <c r="J59" s="140">
        <v>594137.72</v>
      </c>
    </row>
    <row r="60" spans="1:10" x14ac:dyDescent="0.25">
      <c r="A60" s="137" t="s">
        <v>205</v>
      </c>
      <c r="B60" s="137" t="s">
        <v>28</v>
      </c>
      <c r="C60" s="138"/>
      <c r="D60" s="138"/>
      <c r="E60" s="138">
        <v>23943588.100000001</v>
      </c>
      <c r="F60" s="138"/>
      <c r="G60" s="138"/>
      <c r="H60" s="138">
        <v>172860.58</v>
      </c>
      <c r="I60" s="138">
        <v>100</v>
      </c>
      <c r="J60" s="138">
        <v>116364554.53</v>
      </c>
    </row>
    <row r="61" spans="1:10" x14ac:dyDescent="0.25">
      <c r="A61" t="s">
        <v>206</v>
      </c>
      <c r="B61" t="s">
        <v>28</v>
      </c>
      <c r="C61">
        <v>35568.410000000003</v>
      </c>
      <c r="H61">
        <v>172860.58</v>
      </c>
      <c r="I61">
        <v>100</v>
      </c>
      <c r="J61">
        <v>116364554.53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6" tint="0.59999389629810485"/>
  </sheetPr>
  <dimension ref="A1:O38"/>
  <sheetViews>
    <sheetView workbookViewId="0">
      <selection activeCell="O6" sqref="O6"/>
    </sheetView>
  </sheetViews>
  <sheetFormatPr baseColWidth="10" defaultRowHeight="15" x14ac:dyDescent="0.25"/>
  <cols>
    <col min="1" max="1" width="37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  <col min="11" max="11" width="16.5703125" bestFit="1" customWidth="1"/>
    <col min="12" max="12" width="10.28515625" bestFit="1" customWidth="1"/>
    <col min="13" max="13" width="27.7109375" bestFit="1" customWidth="1"/>
    <col min="14" max="14" width="30.85546875" bestFit="1" customWidth="1"/>
    <col min="15" max="15" width="20" bestFit="1" customWidth="1"/>
  </cols>
  <sheetData>
    <row r="1" spans="1:15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  <c r="K1" s="141" t="s">
        <v>223</v>
      </c>
      <c r="L1" s="141" t="s">
        <v>224</v>
      </c>
      <c r="M1" s="141" t="s">
        <v>225</v>
      </c>
      <c r="N1" s="141" t="s">
        <v>226</v>
      </c>
      <c r="O1" s="141" t="s">
        <v>227</v>
      </c>
    </row>
    <row r="2" spans="1:15" x14ac:dyDescent="0.25">
      <c r="A2" s="137" t="s">
        <v>213</v>
      </c>
      <c r="B2" s="137" t="s">
        <v>28</v>
      </c>
      <c r="C2" s="138"/>
      <c r="D2" s="138"/>
      <c r="E2" s="138"/>
      <c r="F2" s="138"/>
      <c r="G2" s="138"/>
      <c r="H2" s="138"/>
      <c r="I2" s="138">
        <v>0</v>
      </c>
      <c r="J2" s="138"/>
      <c r="K2" s="138">
        <v>1.04</v>
      </c>
      <c r="L2" s="138"/>
      <c r="M2" s="138"/>
      <c r="N2" s="138"/>
      <c r="O2" s="137" t="s">
        <v>56</v>
      </c>
    </row>
    <row r="3" spans="1:15" x14ac:dyDescent="0.25">
      <c r="A3" s="139" t="s">
        <v>63</v>
      </c>
      <c r="B3" s="139" t="s">
        <v>28</v>
      </c>
      <c r="C3" s="140"/>
      <c r="D3" s="140">
        <v>1.3</v>
      </c>
      <c r="E3" s="140"/>
      <c r="F3" s="140">
        <v>3.9</v>
      </c>
      <c r="G3" s="140"/>
      <c r="H3" s="140"/>
      <c r="I3" s="140">
        <v>0.56999999999999995</v>
      </c>
      <c r="J3" s="140"/>
      <c r="K3" s="140">
        <v>3.92</v>
      </c>
      <c r="L3" s="140"/>
      <c r="M3" s="140"/>
      <c r="N3" s="140"/>
      <c r="O3" s="139" t="s">
        <v>56</v>
      </c>
    </row>
    <row r="4" spans="1:15" x14ac:dyDescent="0.25">
      <c r="A4" s="137" t="s">
        <v>65</v>
      </c>
      <c r="B4" s="137" t="s">
        <v>28</v>
      </c>
      <c r="C4" s="138"/>
      <c r="D4" s="138">
        <v>0.03</v>
      </c>
      <c r="E4" s="138"/>
      <c r="F4" s="138">
        <v>5.74</v>
      </c>
      <c r="G4" s="138"/>
      <c r="H4" s="138"/>
      <c r="I4" s="138">
        <v>0.01</v>
      </c>
      <c r="J4" s="138"/>
      <c r="K4" s="138">
        <v>5.8</v>
      </c>
      <c r="L4" s="138"/>
      <c r="M4" s="138"/>
      <c r="N4" s="138"/>
      <c r="O4" s="137" t="s">
        <v>56</v>
      </c>
    </row>
    <row r="5" spans="1:15" x14ac:dyDescent="0.25">
      <c r="A5" s="139" t="s">
        <v>65</v>
      </c>
      <c r="B5" s="139" t="s">
        <v>28</v>
      </c>
      <c r="C5" s="140"/>
      <c r="D5" s="140">
        <v>0.01</v>
      </c>
      <c r="E5" s="140"/>
      <c r="F5" s="140">
        <v>2.95</v>
      </c>
      <c r="G5" s="140"/>
      <c r="H5" s="140"/>
      <c r="I5" s="140">
        <v>0.02</v>
      </c>
      <c r="J5" s="140"/>
      <c r="K5" s="140">
        <v>3.28</v>
      </c>
      <c r="L5" s="140"/>
      <c r="M5" s="140"/>
      <c r="N5" s="140"/>
      <c r="O5" s="139" t="s">
        <v>58</v>
      </c>
    </row>
    <row r="6" spans="1:15" x14ac:dyDescent="0.25">
      <c r="A6" s="137" t="s">
        <v>67</v>
      </c>
      <c r="B6" s="137" t="s">
        <v>28</v>
      </c>
      <c r="C6" s="138"/>
      <c r="D6" s="138">
        <v>6.67</v>
      </c>
      <c r="E6" s="138"/>
      <c r="F6" s="138">
        <v>1.18</v>
      </c>
      <c r="G6" s="138"/>
      <c r="H6" s="138"/>
      <c r="I6" s="138">
        <v>4.07</v>
      </c>
      <c r="J6" s="138"/>
      <c r="K6" s="138">
        <v>1.25</v>
      </c>
      <c r="L6" s="138"/>
      <c r="M6" s="138"/>
      <c r="N6" s="138"/>
      <c r="O6" s="137" t="s">
        <v>58</v>
      </c>
    </row>
    <row r="7" spans="1:15" x14ac:dyDescent="0.25">
      <c r="A7" s="139" t="s">
        <v>127</v>
      </c>
      <c r="B7" s="139" t="s">
        <v>28</v>
      </c>
      <c r="C7" s="140"/>
      <c r="D7" s="140">
        <v>0</v>
      </c>
      <c r="E7" s="140"/>
      <c r="F7" s="140">
        <v>0.64</v>
      </c>
      <c r="G7" s="140"/>
      <c r="H7" s="140"/>
      <c r="I7" s="140">
        <v>0</v>
      </c>
      <c r="J7" s="140"/>
      <c r="K7" s="140">
        <v>0.61</v>
      </c>
      <c r="L7" s="140"/>
      <c r="M7" s="140"/>
      <c r="N7" s="140"/>
      <c r="O7" s="139" t="s">
        <v>166</v>
      </c>
    </row>
    <row r="8" spans="1:15" x14ac:dyDescent="0.25">
      <c r="A8" s="137" t="s">
        <v>127</v>
      </c>
      <c r="B8" s="137" t="s">
        <v>28</v>
      </c>
      <c r="C8" s="138"/>
      <c r="D8" s="138">
        <v>0</v>
      </c>
      <c r="E8" s="138"/>
      <c r="F8" s="138">
        <v>3.78</v>
      </c>
      <c r="G8" s="138"/>
      <c r="H8" s="138"/>
      <c r="I8" s="138">
        <v>0</v>
      </c>
      <c r="J8" s="138"/>
      <c r="K8" s="138">
        <v>3.78</v>
      </c>
      <c r="L8" s="138"/>
      <c r="M8" s="138"/>
      <c r="N8" s="138"/>
      <c r="O8" s="137" t="s">
        <v>56</v>
      </c>
    </row>
    <row r="9" spans="1:15" x14ac:dyDescent="0.25">
      <c r="A9" s="139" t="s">
        <v>127</v>
      </c>
      <c r="B9" s="139" t="s">
        <v>28</v>
      </c>
      <c r="C9" s="140"/>
      <c r="D9" s="140">
        <v>0</v>
      </c>
      <c r="E9" s="140"/>
      <c r="F9" s="140">
        <v>2.67</v>
      </c>
      <c r="G9" s="140"/>
      <c r="H9" s="140"/>
      <c r="I9" s="140">
        <v>0</v>
      </c>
      <c r="J9" s="140"/>
      <c r="K9" s="140">
        <v>2.62</v>
      </c>
      <c r="L9" s="140"/>
      <c r="M9" s="140"/>
      <c r="N9" s="140"/>
      <c r="O9" s="139" t="s">
        <v>57</v>
      </c>
    </row>
    <row r="10" spans="1:15" x14ac:dyDescent="0.25">
      <c r="A10" s="137" t="s">
        <v>71</v>
      </c>
      <c r="B10" s="137" t="s">
        <v>28</v>
      </c>
      <c r="C10" s="138"/>
      <c r="D10" s="138">
        <v>0.54</v>
      </c>
      <c r="E10" s="138"/>
      <c r="F10" s="138">
        <v>4.92</v>
      </c>
      <c r="G10" s="138"/>
      <c r="H10" s="138"/>
      <c r="I10" s="138">
        <v>0.42</v>
      </c>
      <c r="J10" s="138"/>
      <c r="K10" s="138">
        <v>4.93</v>
      </c>
      <c r="L10" s="138"/>
      <c r="M10" s="138"/>
      <c r="N10" s="138"/>
      <c r="O10" s="137" t="s">
        <v>56</v>
      </c>
    </row>
    <row r="11" spans="1:15" x14ac:dyDescent="0.25">
      <c r="A11" s="139" t="s">
        <v>71</v>
      </c>
      <c r="B11" s="139" t="s">
        <v>28</v>
      </c>
      <c r="C11" s="140"/>
      <c r="D11" s="140">
        <v>14.5</v>
      </c>
      <c r="E11" s="140"/>
      <c r="F11" s="140">
        <v>2.19</v>
      </c>
      <c r="G11" s="140"/>
      <c r="H11" s="140"/>
      <c r="I11" s="140">
        <v>9.07</v>
      </c>
      <c r="J11" s="140"/>
      <c r="K11" s="140">
        <v>2.16</v>
      </c>
      <c r="L11" s="140"/>
      <c r="M11" s="140"/>
      <c r="N11" s="140"/>
      <c r="O11" s="139" t="s">
        <v>58</v>
      </c>
    </row>
    <row r="12" spans="1:15" x14ac:dyDescent="0.25">
      <c r="A12" s="137" t="s">
        <v>71</v>
      </c>
      <c r="B12" s="137" t="s">
        <v>28</v>
      </c>
      <c r="C12" s="138"/>
      <c r="D12" s="138">
        <v>0.42</v>
      </c>
      <c r="E12" s="138"/>
      <c r="F12" s="138">
        <v>2.61</v>
      </c>
      <c r="G12" s="138"/>
      <c r="H12" s="138"/>
      <c r="I12" s="138">
        <v>0.2</v>
      </c>
      <c r="J12" s="138"/>
      <c r="K12" s="138">
        <v>2.58</v>
      </c>
      <c r="L12" s="138"/>
      <c r="M12" s="138"/>
      <c r="N12" s="138"/>
      <c r="O12" s="137" t="s">
        <v>57</v>
      </c>
    </row>
    <row r="13" spans="1:15" x14ac:dyDescent="0.25">
      <c r="A13" s="139" t="s">
        <v>153</v>
      </c>
      <c r="B13" s="139" t="s">
        <v>28</v>
      </c>
      <c r="C13" s="140"/>
      <c r="D13" s="140">
        <v>0.04</v>
      </c>
      <c r="E13" s="140"/>
      <c r="F13" s="140">
        <v>2.1</v>
      </c>
      <c r="G13" s="140"/>
      <c r="H13" s="140"/>
      <c r="I13" s="140">
        <v>0.08</v>
      </c>
      <c r="J13" s="140"/>
      <c r="K13" s="140">
        <v>2.14</v>
      </c>
      <c r="L13" s="140"/>
      <c r="M13" s="140"/>
      <c r="N13" s="140"/>
      <c r="O13" s="139" t="s">
        <v>58</v>
      </c>
    </row>
    <row r="14" spans="1:15" x14ac:dyDescent="0.25">
      <c r="A14" s="137" t="s">
        <v>73</v>
      </c>
      <c r="B14" s="137" t="s">
        <v>28</v>
      </c>
      <c r="C14" s="138"/>
      <c r="D14" s="138">
        <v>0.15</v>
      </c>
      <c r="E14" s="138"/>
      <c r="F14" s="138">
        <v>2.34</v>
      </c>
      <c r="G14" s="138"/>
      <c r="H14" s="138"/>
      <c r="I14" s="138">
        <v>0.14000000000000001</v>
      </c>
      <c r="J14" s="138"/>
      <c r="K14" s="138">
        <v>2.39</v>
      </c>
      <c r="L14" s="138"/>
      <c r="M14" s="138"/>
      <c r="N14" s="138"/>
      <c r="O14" s="137" t="s">
        <v>145</v>
      </c>
    </row>
    <row r="15" spans="1:15" x14ac:dyDescent="0.25">
      <c r="A15" s="139" t="s">
        <v>75</v>
      </c>
      <c r="B15" s="139" t="s">
        <v>28</v>
      </c>
      <c r="C15" s="140"/>
      <c r="D15" s="140">
        <v>2.09</v>
      </c>
      <c r="E15" s="140"/>
      <c r="F15" s="140">
        <v>2.68</v>
      </c>
      <c r="G15" s="140"/>
      <c r="H15" s="140"/>
      <c r="I15" s="140">
        <v>1.59</v>
      </c>
      <c r="J15" s="140"/>
      <c r="K15" s="140">
        <v>2.65</v>
      </c>
      <c r="L15" s="140"/>
      <c r="M15" s="140"/>
      <c r="N15" s="140"/>
      <c r="O15" s="139" t="s">
        <v>58</v>
      </c>
    </row>
    <row r="16" spans="1:15" x14ac:dyDescent="0.25">
      <c r="A16" s="137" t="s">
        <v>77</v>
      </c>
      <c r="B16" s="137" t="s">
        <v>28</v>
      </c>
      <c r="C16" s="138"/>
      <c r="D16" s="138">
        <v>12.81</v>
      </c>
      <c r="E16" s="138"/>
      <c r="F16" s="138">
        <v>4.3499999999999996</v>
      </c>
      <c r="G16" s="138"/>
      <c r="H16" s="138"/>
      <c r="I16" s="138">
        <v>7.35</v>
      </c>
      <c r="J16" s="138"/>
      <c r="K16" s="138">
        <v>4.38</v>
      </c>
      <c r="L16" s="138"/>
      <c r="M16" s="138"/>
      <c r="N16" s="138"/>
      <c r="O16" s="137" t="s">
        <v>56</v>
      </c>
    </row>
    <row r="17" spans="1:15" x14ac:dyDescent="0.25">
      <c r="A17" s="139" t="s">
        <v>79</v>
      </c>
      <c r="B17" s="139" t="s">
        <v>28</v>
      </c>
      <c r="C17" s="140"/>
      <c r="D17" s="140">
        <v>19.16</v>
      </c>
      <c r="E17" s="140"/>
      <c r="F17" s="140">
        <v>1.37</v>
      </c>
      <c r="G17" s="140"/>
      <c r="H17" s="140"/>
      <c r="I17" s="140">
        <v>12.12</v>
      </c>
      <c r="J17" s="140"/>
      <c r="K17" s="140">
        <v>1.43</v>
      </c>
      <c r="L17" s="140"/>
      <c r="M17" s="140"/>
      <c r="N17" s="140"/>
      <c r="O17" s="139" t="s">
        <v>58</v>
      </c>
    </row>
    <row r="18" spans="1:15" x14ac:dyDescent="0.25">
      <c r="A18" s="137" t="s">
        <v>81</v>
      </c>
      <c r="B18" s="137" t="s">
        <v>28</v>
      </c>
      <c r="C18" s="138"/>
      <c r="D18" s="138">
        <v>0.02</v>
      </c>
      <c r="E18" s="138"/>
      <c r="F18" s="138">
        <v>3.16</v>
      </c>
      <c r="G18" s="138"/>
      <c r="H18" s="138"/>
      <c r="I18" s="138">
        <v>0.02</v>
      </c>
      <c r="J18" s="138"/>
      <c r="K18" s="138">
        <v>3.14</v>
      </c>
      <c r="L18" s="138"/>
      <c r="M18" s="138"/>
      <c r="N18" s="138"/>
      <c r="O18" s="137" t="s">
        <v>58</v>
      </c>
    </row>
    <row r="19" spans="1:15" x14ac:dyDescent="0.25">
      <c r="A19" s="139" t="s">
        <v>83</v>
      </c>
      <c r="B19" s="139" t="s">
        <v>28</v>
      </c>
      <c r="C19" s="140"/>
      <c r="D19" s="140">
        <v>0.02</v>
      </c>
      <c r="E19" s="140"/>
      <c r="F19" s="140">
        <v>1.56</v>
      </c>
      <c r="G19" s="140"/>
      <c r="H19" s="140"/>
      <c r="I19" s="140">
        <v>0.03</v>
      </c>
      <c r="J19" s="140"/>
      <c r="K19" s="140">
        <v>1.37</v>
      </c>
      <c r="L19" s="140"/>
      <c r="M19" s="140"/>
      <c r="N19" s="140"/>
      <c r="O19" s="139" t="s">
        <v>58</v>
      </c>
    </row>
    <row r="20" spans="1:15" x14ac:dyDescent="0.25">
      <c r="A20" s="137" t="s">
        <v>85</v>
      </c>
      <c r="B20" s="137" t="s">
        <v>28</v>
      </c>
      <c r="C20" s="138"/>
      <c r="D20" s="138">
        <v>0.09</v>
      </c>
      <c r="E20" s="138"/>
      <c r="F20" s="138">
        <v>10.33</v>
      </c>
      <c r="G20" s="138"/>
      <c r="H20" s="138"/>
      <c r="I20" s="138">
        <v>0.05</v>
      </c>
      <c r="J20" s="138"/>
      <c r="K20" s="138">
        <v>15.87</v>
      </c>
      <c r="L20" s="138"/>
      <c r="M20" s="138"/>
      <c r="N20" s="138"/>
      <c r="O20" s="137" t="s">
        <v>56</v>
      </c>
    </row>
    <row r="21" spans="1:15" x14ac:dyDescent="0.25">
      <c r="A21" s="139" t="s">
        <v>85</v>
      </c>
      <c r="B21" s="139" t="s">
        <v>28</v>
      </c>
      <c r="C21" s="140"/>
      <c r="D21" s="140">
        <v>5.53</v>
      </c>
      <c r="E21" s="140"/>
      <c r="F21" s="140">
        <v>2.52</v>
      </c>
      <c r="G21" s="140"/>
      <c r="H21" s="140"/>
      <c r="I21" s="140">
        <v>4.92</v>
      </c>
      <c r="J21" s="140"/>
      <c r="K21" s="140">
        <v>2.5</v>
      </c>
      <c r="L21" s="140"/>
      <c r="M21" s="140"/>
      <c r="N21" s="140"/>
      <c r="O21" s="139" t="s">
        <v>58</v>
      </c>
    </row>
    <row r="22" spans="1:15" x14ac:dyDescent="0.25">
      <c r="A22" s="137" t="s">
        <v>85</v>
      </c>
      <c r="B22" s="137" t="s">
        <v>28</v>
      </c>
      <c r="C22" s="138"/>
      <c r="D22" s="138">
        <v>1.45</v>
      </c>
      <c r="E22" s="138"/>
      <c r="F22" s="138">
        <v>3.7</v>
      </c>
      <c r="G22" s="138"/>
      <c r="H22" s="138"/>
      <c r="I22" s="138">
        <v>1.1100000000000001</v>
      </c>
      <c r="J22" s="138"/>
      <c r="K22" s="138">
        <v>3.88</v>
      </c>
      <c r="L22" s="138"/>
      <c r="M22" s="138"/>
      <c r="N22" s="138"/>
      <c r="O22" s="137" t="s">
        <v>57</v>
      </c>
    </row>
    <row r="23" spans="1:15" x14ac:dyDescent="0.25">
      <c r="A23" s="139" t="s">
        <v>93</v>
      </c>
      <c r="B23" s="139" t="s">
        <v>28</v>
      </c>
      <c r="C23" s="140"/>
      <c r="D23" s="140">
        <v>0.33</v>
      </c>
      <c r="E23" s="140"/>
      <c r="F23" s="140">
        <v>3.1</v>
      </c>
      <c r="G23" s="140"/>
      <c r="H23" s="140"/>
      <c r="I23" s="140">
        <v>0.44</v>
      </c>
      <c r="J23" s="140"/>
      <c r="K23" s="140">
        <v>3.15</v>
      </c>
      <c r="L23" s="140"/>
      <c r="M23" s="140"/>
      <c r="N23" s="140"/>
      <c r="O23" s="139" t="s">
        <v>58</v>
      </c>
    </row>
    <row r="24" spans="1:15" x14ac:dyDescent="0.25">
      <c r="A24" s="137" t="s">
        <v>97</v>
      </c>
      <c r="B24" s="137" t="s">
        <v>28</v>
      </c>
      <c r="C24" s="138"/>
      <c r="D24" s="138">
        <v>0</v>
      </c>
      <c r="E24" s="138"/>
      <c r="F24" s="138">
        <v>1.1399999999999999</v>
      </c>
      <c r="G24" s="138"/>
      <c r="H24" s="138"/>
      <c r="I24" s="138">
        <v>0</v>
      </c>
      <c r="J24" s="138"/>
      <c r="K24" s="138">
        <v>1.0900000000000001</v>
      </c>
      <c r="L24" s="138"/>
      <c r="M24" s="138"/>
      <c r="N24" s="138"/>
      <c r="O24" s="137" t="s">
        <v>58</v>
      </c>
    </row>
    <row r="25" spans="1:15" x14ac:dyDescent="0.25">
      <c r="A25" s="139" t="s">
        <v>214</v>
      </c>
      <c r="B25" s="139" t="s">
        <v>28</v>
      </c>
      <c r="C25" s="140"/>
      <c r="D25" s="140">
        <v>11.52</v>
      </c>
      <c r="E25" s="140"/>
      <c r="F25" s="140">
        <v>0.32</v>
      </c>
      <c r="G25" s="140"/>
      <c r="H25" s="140"/>
      <c r="I25" s="140">
        <v>3.58</v>
      </c>
      <c r="J25" s="140"/>
      <c r="K25" s="140">
        <v>0.32</v>
      </c>
      <c r="L25" s="140"/>
      <c r="M25" s="140"/>
      <c r="N25" s="140"/>
      <c r="O25" s="139" t="s">
        <v>56</v>
      </c>
    </row>
    <row r="26" spans="1:15" x14ac:dyDescent="0.25">
      <c r="A26" s="137" t="s">
        <v>87</v>
      </c>
      <c r="B26" s="137" t="s">
        <v>28</v>
      </c>
      <c r="C26" s="138"/>
      <c r="D26" s="138">
        <v>8.42</v>
      </c>
      <c r="E26" s="138"/>
      <c r="F26" s="138">
        <v>1.59</v>
      </c>
      <c r="G26" s="138"/>
      <c r="H26" s="138"/>
      <c r="I26" s="138">
        <v>3.12</v>
      </c>
      <c r="J26" s="138"/>
      <c r="K26" s="138">
        <v>1.59</v>
      </c>
      <c r="L26" s="138"/>
      <c r="M26" s="138"/>
      <c r="N26" s="138"/>
      <c r="O26" s="137" t="s">
        <v>58</v>
      </c>
    </row>
    <row r="27" spans="1:15" x14ac:dyDescent="0.25">
      <c r="A27" s="139" t="s">
        <v>95</v>
      </c>
      <c r="B27" s="139" t="s">
        <v>28</v>
      </c>
      <c r="C27" s="140"/>
      <c r="D27" s="140">
        <v>2.34</v>
      </c>
      <c r="E27" s="140"/>
      <c r="F27" s="140">
        <v>0.28999999999999998</v>
      </c>
      <c r="G27" s="140"/>
      <c r="H27" s="140"/>
      <c r="I27" s="140">
        <v>0.71</v>
      </c>
      <c r="J27" s="140"/>
      <c r="K27" s="140">
        <v>0.28999999999999998</v>
      </c>
      <c r="L27" s="140"/>
      <c r="M27" s="140"/>
      <c r="N27" s="140"/>
      <c r="O27" s="139" t="s">
        <v>56</v>
      </c>
    </row>
    <row r="28" spans="1:15" x14ac:dyDescent="0.25">
      <c r="A28" s="137" t="s">
        <v>215</v>
      </c>
      <c r="B28" s="137" t="s">
        <v>28</v>
      </c>
      <c r="C28" s="138"/>
      <c r="D28" s="138">
        <v>0.01</v>
      </c>
      <c r="E28" s="138"/>
      <c r="F28" s="138">
        <v>9.8000000000000007</v>
      </c>
      <c r="G28" s="138"/>
      <c r="H28" s="138"/>
      <c r="I28" s="138">
        <v>0</v>
      </c>
      <c r="J28" s="138"/>
      <c r="K28" s="138">
        <v>9.8000000000000007</v>
      </c>
      <c r="L28" s="138"/>
      <c r="M28" s="138"/>
      <c r="N28" s="138"/>
      <c r="O28" s="137" t="s">
        <v>165</v>
      </c>
    </row>
    <row r="29" spans="1:15" x14ac:dyDescent="0.25">
      <c r="A29" s="139" t="s">
        <v>69</v>
      </c>
      <c r="B29" s="139" t="s">
        <v>28</v>
      </c>
      <c r="C29" s="140"/>
      <c r="D29" s="140">
        <v>0.01</v>
      </c>
      <c r="E29" s="140"/>
      <c r="F29" s="140">
        <v>6.68</v>
      </c>
      <c r="G29" s="140"/>
      <c r="H29" s="140"/>
      <c r="I29" s="140">
        <v>0.02</v>
      </c>
      <c r="J29" s="140"/>
      <c r="K29" s="140">
        <v>6.68</v>
      </c>
      <c r="L29" s="140"/>
      <c r="M29" s="140"/>
      <c r="N29" s="140"/>
      <c r="O29" s="139" t="s">
        <v>61</v>
      </c>
    </row>
    <row r="30" spans="1:15" x14ac:dyDescent="0.25">
      <c r="A30" s="137" t="s">
        <v>69</v>
      </c>
      <c r="B30" s="137" t="s">
        <v>28</v>
      </c>
      <c r="C30" s="138"/>
      <c r="D30" s="138">
        <v>0.01</v>
      </c>
      <c r="E30" s="138"/>
      <c r="F30" s="138">
        <v>2.58</v>
      </c>
      <c r="G30" s="138"/>
      <c r="H30" s="138"/>
      <c r="I30" s="138">
        <v>0.03</v>
      </c>
      <c r="J30" s="138"/>
      <c r="K30" s="138">
        <v>2.58</v>
      </c>
      <c r="L30" s="138"/>
      <c r="M30" s="138"/>
      <c r="N30" s="138"/>
      <c r="O30" s="137" t="s">
        <v>58</v>
      </c>
    </row>
    <row r="31" spans="1:15" x14ac:dyDescent="0.25">
      <c r="A31" s="139" t="s">
        <v>69</v>
      </c>
      <c r="B31" s="139" t="s">
        <v>28</v>
      </c>
      <c r="C31" s="140"/>
      <c r="D31" s="140">
        <v>0.13</v>
      </c>
      <c r="E31" s="140"/>
      <c r="F31" s="140">
        <v>4.26</v>
      </c>
      <c r="G31" s="140"/>
      <c r="H31" s="140"/>
      <c r="I31" s="140">
        <v>0.09</v>
      </c>
      <c r="J31" s="140"/>
      <c r="K31" s="140">
        <v>4.3099999999999996</v>
      </c>
      <c r="L31" s="140"/>
      <c r="M31" s="140"/>
      <c r="N31" s="140"/>
      <c r="O31" s="139" t="s">
        <v>57</v>
      </c>
    </row>
    <row r="32" spans="1:15" x14ac:dyDescent="0.25">
      <c r="A32" s="137" t="s">
        <v>89</v>
      </c>
      <c r="B32" s="137" t="s">
        <v>28</v>
      </c>
      <c r="C32" s="138"/>
      <c r="D32" s="138"/>
      <c r="E32" s="138"/>
      <c r="F32" s="138"/>
      <c r="G32" s="138"/>
      <c r="H32" s="138"/>
      <c r="I32" s="138">
        <v>0</v>
      </c>
      <c r="J32" s="138"/>
      <c r="K32" s="138">
        <v>1.8</v>
      </c>
      <c r="L32" s="138"/>
      <c r="M32" s="138"/>
      <c r="N32" s="138"/>
      <c r="O32" s="137" t="s">
        <v>163</v>
      </c>
    </row>
    <row r="33" spans="1:15" x14ac:dyDescent="0.25">
      <c r="A33" s="139" t="s">
        <v>89</v>
      </c>
      <c r="B33" s="139" t="s">
        <v>28</v>
      </c>
      <c r="C33" s="140"/>
      <c r="D33" s="140">
        <v>0.01</v>
      </c>
      <c r="E33" s="140"/>
      <c r="F33" s="140">
        <v>10.61</v>
      </c>
      <c r="G33" s="140"/>
      <c r="H33" s="140"/>
      <c r="I33" s="140">
        <v>0.03</v>
      </c>
      <c r="J33" s="140"/>
      <c r="K33" s="140">
        <v>10.63</v>
      </c>
      <c r="L33" s="140"/>
      <c r="M33" s="140"/>
      <c r="N33" s="140"/>
      <c r="O33" s="139" t="s">
        <v>60</v>
      </c>
    </row>
    <row r="34" spans="1:15" x14ac:dyDescent="0.25">
      <c r="A34" s="137" t="s">
        <v>89</v>
      </c>
      <c r="B34" s="137" t="s">
        <v>28</v>
      </c>
      <c r="C34" s="138"/>
      <c r="D34" s="138">
        <v>0.99</v>
      </c>
      <c r="E34" s="138"/>
      <c r="F34" s="138">
        <v>-0.45</v>
      </c>
      <c r="G34" s="138"/>
      <c r="H34" s="138"/>
      <c r="I34" s="138">
        <v>0.3</v>
      </c>
      <c r="J34" s="138"/>
      <c r="K34" s="138">
        <v>-0.15</v>
      </c>
      <c r="L34" s="138"/>
      <c r="M34" s="138"/>
      <c r="N34" s="138"/>
      <c r="O34" s="137" t="s">
        <v>166</v>
      </c>
    </row>
    <row r="35" spans="1:15" x14ac:dyDescent="0.25">
      <c r="A35" s="139" t="s">
        <v>89</v>
      </c>
      <c r="B35" s="139" t="s">
        <v>28</v>
      </c>
      <c r="C35" s="140"/>
      <c r="D35" s="140"/>
      <c r="E35" s="140"/>
      <c r="F35" s="140"/>
      <c r="G35" s="140"/>
      <c r="H35" s="140"/>
      <c r="I35" s="140">
        <v>0</v>
      </c>
      <c r="J35" s="140"/>
      <c r="K35" s="140">
        <v>0.39</v>
      </c>
      <c r="L35" s="140"/>
      <c r="M35" s="140"/>
      <c r="N35" s="140"/>
      <c r="O35" s="139" t="s">
        <v>62</v>
      </c>
    </row>
    <row r="36" spans="1:15" x14ac:dyDescent="0.25">
      <c r="A36" s="137" t="s">
        <v>89</v>
      </c>
      <c r="B36" s="137" t="s">
        <v>28</v>
      </c>
      <c r="C36" s="138"/>
      <c r="D36" s="138">
        <v>1.63</v>
      </c>
      <c r="E36" s="138"/>
      <c r="F36" s="138">
        <v>4.97</v>
      </c>
      <c r="G36" s="138"/>
      <c r="H36" s="138"/>
      <c r="I36" s="138">
        <v>1.05</v>
      </c>
      <c r="J36" s="138"/>
      <c r="K36" s="138">
        <v>4.04</v>
      </c>
      <c r="L36" s="138"/>
      <c r="M36" s="138"/>
      <c r="N36" s="138"/>
      <c r="O36" s="137" t="s">
        <v>61</v>
      </c>
    </row>
    <row r="37" spans="1:15" x14ac:dyDescent="0.25">
      <c r="A37" s="139" t="s">
        <v>89</v>
      </c>
      <c r="B37" s="139" t="s">
        <v>28</v>
      </c>
      <c r="C37" s="140"/>
      <c r="D37" s="140">
        <v>3.52</v>
      </c>
      <c r="E37" s="140"/>
      <c r="F37" s="140">
        <v>0.86</v>
      </c>
      <c r="G37" s="140"/>
      <c r="H37" s="140"/>
      <c r="I37" s="140">
        <v>2.2599999999999998</v>
      </c>
      <c r="J37" s="140"/>
      <c r="K37" s="140">
        <v>0.99</v>
      </c>
      <c r="L37" s="140"/>
      <c r="M37" s="140"/>
      <c r="N37" s="140"/>
      <c r="O37" s="139" t="s">
        <v>57</v>
      </c>
    </row>
    <row r="38" spans="1:15" x14ac:dyDescent="0.25">
      <c r="A38" s="139" t="s">
        <v>99</v>
      </c>
      <c r="B38" s="139" t="s">
        <v>28</v>
      </c>
      <c r="C38" s="140"/>
      <c r="D38" s="140">
        <v>0.06</v>
      </c>
      <c r="E38" s="140"/>
      <c r="F38" s="140">
        <v>3.45</v>
      </c>
      <c r="I38">
        <v>0.04</v>
      </c>
      <c r="K38">
        <v>3.42</v>
      </c>
      <c r="O3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6" tint="0.59999389629810485"/>
  </sheetPr>
  <dimension ref="A1:G30"/>
  <sheetViews>
    <sheetView workbookViewId="0">
      <selection activeCell="G31" sqref="G31"/>
    </sheetView>
  </sheetViews>
  <sheetFormatPr baseColWidth="10" defaultRowHeight="15" x14ac:dyDescent="0.25"/>
  <cols>
    <col min="1" max="1" width="33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</cols>
  <sheetData>
    <row r="1" spans="1:7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</row>
    <row r="2" spans="1:7" x14ac:dyDescent="0.25">
      <c r="A2" s="137" t="s">
        <v>63</v>
      </c>
      <c r="B2" s="137" t="s">
        <v>28</v>
      </c>
      <c r="C2" s="138"/>
      <c r="D2" s="138"/>
      <c r="E2" s="138"/>
      <c r="F2" s="138"/>
      <c r="G2" s="138">
        <v>1534</v>
      </c>
    </row>
    <row r="3" spans="1:7" x14ac:dyDescent="0.25">
      <c r="A3" s="139" t="s">
        <v>67</v>
      </c>
      <c r="B3" s="139" t="s">
        <v>28</v>
      </c>
      <c r="C3" s="140"/>
      <c r="D3" s="140"/>
      <c r="E3" s="140"/>
      <c r="F3" s="140"/>
      <c r="G3" s="140">
        <v>2450</v>
      </c>
    </row>
    <row r="4" spans="1:7" x14ac:dyDescent="0.25">
      <c r="A4" s="137" t="s">
        <v>83</v>
      </c>
      <c r="B4" s="137" t="s">
        <v>28</v>
      </c>
      <c r="C4" s="138"/>
      <c r="D4" s="138"/>
      <c r="E4" s="138"/>
      <c r="F4" s="138"/>
      <c r="G4" s="138">
        <v>535</v>
      </c>
    </row>
    <row r="5" spans="1:7" x14ac:dyDescent="0.25">
      <c r="A5" s="139" t="s">
        <v>95</v>
      </c>
      <c r="B5" s="139" t="s">
        <v>28</v>
      </c>
      <c r="C5" s="140"/>
      <c r="D5" s="140"/>
      <c r="E5" s="140"/>
      <c r="F5" s="140"/>
      <c r="G5" s="140">
        <v>74</v>
      </c>
    </row>
    <row r="6" spans="1:7" x14ac:dyDescent="0.25">
      <c r="A6" s="137" t="s">
        <v>97</v>
      </c>
      <c r="B6" s="137" t="s">
        <v>28</v>
      </c>
      <c r="C6" s="138"/>
      <c r="D6" s="138"/>
      <c r="E6" s="138"/>
      <c r="F6" s="138"/>
      <c r="G6" s="138">
        <v>754</v>
      </c>
    </row>
    <row r="7" spans="1:7" x14ac:dyDescent="0.25">
      <c r="A7" s="139" t="s">
        <v>216</v>
      </c>
      <c r="B7" s="139" t="s">
        <v>28</v>
      </c>
      <c r="C7" s="140"/>
      <c r="D7" s="140"/>
      <c r="E7" s="140"/>
      <c r="F7" s="140"/>
      <c r="G7" s="140">
        <v>1793</v>
      </c>
    </row>
    <row r="8" spans="1:7" x14ac:dyDescent="0.25">
      <c r="A8" s="137" t="s">
        <v>127</v>
      </c>
      <c r="B8" s="137" t="s">
        <v>28</v>
      </c>
      <c r="C8" s="138"/>
      <c r="D8" s="138"/>
      <c r="E8" s="138"/>
      <c r="F8" s="138"/>
      <c r="G8" s="138">
        <v>3848</v>
      </c>
    </row>
    <row r="9" spans="1:7" x14ac:dyDescent="0.25">
      <c r="A9" s="139" t="s">
        <v>77</v>
      </c>
      <c r="B9" s="139" t="s">
        <v>28</v>
      </c>
      <c r="C9" s="140"/>
      <c r="D9" s="140"/>
      <c r="E9" s="140"/>
      <c r="F9" s="140"/>
      <c r="G9" s="140">
        <v>3574</v>
      </c>
    </row>
    <row r="10" spans="1:7" x14ac:dyDescent="0.25">
      <c r="A10" s="137" t="s">
        <v>79</v>
      </c>
      <c r="B10" s="137" t="s">
        <v>28</v>
      </c>
      <c r="C10" s="138"/>
      <c r="D10" s="138"/>
      <c r="E10" s="138"/>
      <c r="F10" s="138"/>
      <c r="G10" s="138">
        <v>4217</v>
      </c>
    </row>
    <row r="11" spans="1:7" x14ac:dyDescent="0.25">
      <c r="A11" s="139" t="s">
        <v>217</v>
      </c>
      <c r="B11" s="139" t="s">
        <v>28</v>
      </c>
      <c r="C11" s="140"/>
      <c r="D11" s="140"/>
      <c r="E11" s="140"/>
      <c r="F11" s="140"/>
      <c r="G11" s="140">
        <v>3959</v>
      </c>
    </row>
    <row r="12" spans="1:7" x14ac:dyDescent="0.25">
      <c r="A12" s="137" t="s">
        <v>73</v>
      </c>
      <c r="B12" s="137" t="s">
        <v>28</v>
      </c>
      <c r="C12" s="138"/>
      <c r="D12" s="138"/>
      <c r="E12" s="138"/>
      <c r="F12" s="138"/>
      <c r="G12" s="138">
        <v>911</v>
      </c>
    </row>
    <row r="13" spans="1:7" x14ac:dyDescent="0.25">
      <c r="A13" s="139" t="s">
        <v>81</v>
      </c>
      <c r="B13" s="139" t="s">
        <v>28</v>
      </c>
      <c r="C13" s="140"/>
      <c r="D13" s="140"/>
      <c r="E13" s="140"/>
      <c r="F13" s="140"/>
      <c r="G13" s="140">
        <v>2314</v>
      </c>
    </row>
    <row r="14" spans="1:7" x14ac:dyDescent="0.25">
      <c r="A14" s="137" t="s">
        <v>218</v>
      </c>
      <c r="B14" s="137" t="s">
        <v>28</v>
      </c>
      <c r="C14" s="138"/>
      <c r="D14" s="138"/>
      <c r="E14" s="138"/>
      <c r="F14" s="138"/>
      <c r="G14" s="138">
        <v>1078</v>
      </c>
    </row>
    <row r="15" spans="1:7" x14ac:dyDescent="0.25">
      <c r="A15" s="139" t="s">
        <v>40</v>
      </c>
      <c r="B15" s="139" t="s">
        <v>28</v>
      </c>
      <c r="C15" s="140"/>
      <c r="D15" s="140"/>
      <c r="E15" s="140"/>
      <c r="F15" s="140"/>
      <c r="G15" s="140">
        <v>3421</v>
      </c>
    </row>
    <row r="16" spans="1:7" x14ac:dyDescent="0.25">
      <c r="A16" s="137" t="s">
        <v>172</v>
      </c>
      <c r="B16" s="137" t="s">
        <v>28</v>
      </c>
      <c r="C16" s="138"/>
      <c r="D16" s="138"/>
      <c r="E16" s="138"/>
      <c r="F16" s="138"/>
      <c r="G16" s="138"/>
    </row>
    <row r="17" spans="1:7" x14ac:dyDescent="0.25">
      <c r="A17" s="139" t="s">
        <v>65</v>
      </c>
      <c r="B17" s="139" t="s">
        <v>28</v>
      </c>
      <c r="C17" s="140"/>
      <c r="D17" s="140"/>
      <c r="E17" s="140"/>
      <c r="F17" s="140"/>
      <c r="G17" s="140">
        <v>1238</v>
      </c>
    </row>
    <row r="18" spans="1:7" x14ac:dyDescent="0.25">
      <c r="A18" s="137" t="s">
        <v>85</v>
      </c>
      <c r="B18" s="137" t="s">
        <v>28</v>
      </c>
      <c r="C18" s="138"/>
      <c r="D18" s="138"/>
      <c r="E18" s="138"/>
      <c r="F18" s="138"/>
      <c r="G18" s="138">
        <v>3228</v>
      </c>
    </row>
    <row r="19" spans="1:7" x14ac:dyDescent="0.25">
      <c r="A19" s="139" t="s">
        <v>43</v>
      </c>
      <c r="B19" s="139" t="s">
        <v>28</v>
      </c>
      <c r="C19" s="140"/>
      <c r="D19" s="140"/>
      <c r="E19" s="140"/>
      <c r="F19" s="140"/>
      <c r="G19" s="140">
        <v>3217</v>
      </c>
    </row>
    <row r="20" spans="1:7" x14ac:dyDescent="0.25">
      <c r="A20" s="137" t="s">
        <v>71</v>
      </c>
      <c r="B20" s="137" t="s">
        <v>28</v>
      </c>
      <c r="C20" s="138"/>
      <c r="D20" s="138"/>
      <c r="E20" s="138"/>
      <c r="F20" s="138"/>
      <c r="G20" s="138">
        <v>2311</v>
      </c>
    </row>
    <row r="21" spans="1:7" x14ac:dyDescent="0.25">
      <c r="A21" s="139" t="s">
        <v>153</v>
      </c>
      <c r="B21" s="139" t="s">
        <v>28</v>
      </c>
      <c r="C21" s="140"/>
      <c r="D21" s="140"/>
      <c r="E21" s="140"/>
      <c r="F21" s="140"/>
      <c r="G21" s="140">
        <v>2131</v>
      </c>
    </row>
    <row r="22" spans="1:7" x14ac:dyDescent="0.25">
      <c r="A22" s="137" t="s">
        <v>75</v>
      </c>
      <c r="B22" s="137" t="s">
        <v>28</v>
      </c>
      <c r="C22" s="138"/>
      <c r="D22" s="138"/>
      <c r="E22" s="138"/>
      <c r="F22" s="138"/>
      <c r="G22" s="138">
        <v>4160</v>
      </c>
    </row>
    <row r="23" spans="1:7" x14ac:dyDescent="0.25">
      <c r="A23" s="139" t="s">
        <v>87</v>
      </c>
      <c r="B23" s="139" t="s">
        <v>28</v>
      </c>
      <c r="C23" s="140"/>
      <c r="D23" s="140"/>
      <c r="E23" s="140"/>
      <c r="F23" s="140"/>
      <c r="G23" s="140">
        <v>217</v>
      </c>
    </row>
    <row r="24" spans="1:7" x14ac:dyDescent="0.25">
      <c r="A24" s="137" t="s">
        <v>93</v>
      </c>
      <c r="B24" s="137" t="s">
        <v>28</v>
      </c>
      <c r="C24" s="138"/>
      <c r="D24" s="138"/>
      <c r="E24" s="138"/>
      <c r="F24" s="138"/>
      <c r="G24" s="138">
        <v>1503</v>
      </c>
    </row>
    <row r="25" spans="1:7" x14ac:dyDescent="0.25">
      <c r="A25" s="139" t="s">
        <v>48</v>
      </c>
      <c r="B25" s="139" t="s">
        <v>28</v>
      </c>
      <c r="C25" s="140"/>
      <c r="D25" s="140"/>
      <c r="E25" s="140"/>
      <c r="F25" s="140"/>
      <c r="G25" s="140">
        <v>1303</v>
      </c>
    </row>
    <row r="26" spans="1:7" x14ac:dyDescent="0.25">
      <c r="A26" s="137" t="s">
        <v>69</v>
      </c>
      <c r="B26" s="137" t="s">
        <v>28</v>
      </c>
      <c r="C26" s="138"/>
      <c r="D26" s="138"/>
      <c r="E26" s="138"/>
      <c r="F26" s="138"/>
      <c r="G26" s="138">
        <v>2708</v>
      </c>
    </row>
    <row r="27" spans="1:7" x14ac:dyDescent="0.25">
      <c r="A27" s="139" t="s">
        <v>89</v>
      </c>
      <c r="B27" s="139" t="s">
        <v>28</v>
      </c>
      <c r="C27" s="140"/>
      <c r="D27" s="140"/>
      <c r="E27" s="140"/>
      <c r="F27" s="140"/>
      <c r="G27" s="140">
        <v>1303</v>
      </c>
    </row>
    <row r="28" spans="1:7" x14ac:dyDescent="0.25">
      <c r="A28" s="137" t="s">
        <v>99</v>
      </c>
      <c r="B28" s="137" t="s">
        <v>28</v>
      </c>
      <c r="C28" s="138"/>
      <c r="D28" s="138"/>
      <c r="E28" s="138"/>
      <c r="F28" s="138"/>
      <c r="G28" s="138">
        <v>2047</v>
      </c>
    </row>
    <row r="29" spans="1:7" x14ac:dyDescent="0.25">
      <c r="A29" s="139" t="s">
        <v>52</v>
      </c>
      <c r="B29" s="139" t="s">
        <v>28</v>
      </c>
      <c r="C29" s="140"/>
      <c r="D29" s="140"/>
      <c r="E29" s="140"/>
      <c r="F29" s="140"/>
      <c r="G29" s="140">
        <v>1343</v>
      </c>
    </row>
    <row r="30" spans="1:7" x14ac:dyDescent="0.25">
      <c r="A30" t="s">
        <v>141</v>
      </c>
      <c r="B30" t="s">
        <v>28</v>
      </c>
      <c r="G30">
        <v>2410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9" tint="0.39997558519241921"/>
  </sheetPr>
  <dimension ref="A1:X108"/>
  <sheetViews>
    <sheetView showGridLines="0" tabSelected="1" topLeftCell="L1" workbookViewId="0">
      <selection activeCell="Y25" sqref="Y25"/>
    </sheetView>
  </sheetViews>
  <sheetFormatPr baseColWidth="10" defaultRowHeight="15" x14ac:dyDescent="0.25"/>
  <cols>
    <col min="2" max="2" width="41.140625" bestFit="1" customWidth="1"/>
    <col min="4" max="4" width="2.140625" customWidth="1"/>
    <col min="5" max="5" width="66.28515625" bestFit="1" customWidth="1"/>
    <col min="7" max="7" width="3.140625" customWidth="1"/>
    <col min="8" max="8" width="33.42578125" bestFit="1" customWidth="1"/>
    <col min="9" max="9" width="6" customWidth="1"/>
    <col min="11" max="11" width="29.140625" bestFit="1" customWidth="1"/>
    <col min="13" max="13" width="8.85546875" bestFit="1" customWidth="1"/>
    <col min="15" max="15" width="29.140625" bestFit="1" customWidth="1"/>
    <col min="16" max="16" width="11.85546875" bestFit="1" customWidth="1"/>
    <col min="18" max="18" width="8" customWidth="1"/>
    <col min="19" max="19" width="16.7109375" bestFit="1" customWidth="1"/>
  </cols>
  <sheetData>
    <row r="1" spans="1:24" ht="15.75" thickBot="1" x14ac:dyDescent="0.3">
      <c r="B1" s="193" t="s">
        <v>322</v>
      </c>
      <c r="C1" s="199"/>
      <c r="D1" s="199"/>
      <c r="E1" s="199"/>
      <c r="F1" s="194"/>
      <c r="H1" s="193" t="s">
        <v>325</v>
      </c>
      <c r="I1" s="194"/>
    </row>
    <row r="2" spans="1:24" ht="15.75" thickBot="1" x14ac:dyDescent="0.3">
      <c r="B2" s="151" t="s">
        <v>323</v>
      </c>
      <c r="C2" s="152" t="s">
        <v>109</v>
      </c>
      <c r="E2" s="151" t="s">
        <v>324</v>
      </c>
      <c r="F2" s="152" t="s">
        <v>109</v>
      </c>
      <c r="H2" s="151" t="s">
        <v>323</v>
      </c>
      <c r="I2" s="151" t="s">
        <v>326</v>
      </c>
      <c r="K2" s="145" t="s">
        <v>333</v>
      </c>
      <c r="P2" s="200">
        <v>42583</v>
      </c>
      <c r="Q2" s="201"/>
      <c r="R2" s="193" t="s">
        <v>116</v>
      </c>
      <c r="S2" s="194"/>
      <c r="T2" s="193" t="s">
        <v>351</v>
      </c>
      <c r="U2" s="194"/>
      <c r="W2">
        <v>0.27144964597024701</v>
      </c>
      <c r="X2">
        <v>6.8650008723295279</v>
      </c>
    </row>
    <row r="3" spans="1:24" ht="15.75" thickBot="1" x14ac:dyDescent="0.3">
      <c r="A3">
        <v>1</v>
      </c>
      <c r="B3" s="150" t="s">
        <v>1</v>
      </c>
      <c r="C3" s="145">
        <f>+SUMIFS('Cuadro 2 (columna AD-AC)'!$K:$K,'Cuadro 2 (columna AD-AC)'!$C:$C,Resumen!$A3,'Cuadro 2 (columna AD-AC)'!$G:$G,"HABITAT",'Cuadro 2 (columna AD-AC)'!$D:$D,Resumen!$B3)</f>
        <v>88.86</v>
      </c>
      <c r="E3" s="146" t="s">
        <v>63</v>
      </c>
      <c r="F3" s="145">
        <f>+SUMIFS('Cuadro 3'!$D:$D,'Cuadro 3'!$A:$A,Resumen!$E3)</f>
        <v>1.3</v>
      </c>
      <c r="H3" s="147" t="s">
        <v>63</v>
      </c>
      <c r="I3" s="145">
        <f>+SUMIFS('Cuadro 7'!$G:$G,'Cuadro 7'!$A:$A,Resumen!$H3)</f>
        <v>1534</v>
      </c>
      <c r="K3" s="147" t="s">
        <v>172</v>
      </c>
      <c r="L3" s="153" t="s">
        <v>56</v>
      </c>
      <c r="M3" s="58">
        <f>+SUMIFS('Cuadro 4'!$D:$D,'Cuadro 4'!$A:$A,"Renta Fija Nacional:BCA",'Cuadro 4'!$O:$O,Resumen!$L3)</f>
        <v>0</v>
      </c>
      <c r="O3" s="157" t="s">
        <v>350</v>
      </c>
      <c r="P3" s="163" t="s">
        <v>109</v>
      </c>
      <c r="Q3" s="158" t="s">
        <v>321</v>
      </c>
      <c r="R3" s="163" t="s">
        <v>109</v>
      </c>
      <c r="S3" s="158" t="s">
        <v>321</v>
      </c>
      <c r="T3" s="173" t="s">
        <v>109</v>
      </c>
      <c r="U3" s="174" t="s">
        <v>321</v>
      </c>
      <c r="W3">
        <v>0.49378360416517658</v>
      </c>
      <c r="X3">
        <v>7.0477456490928461</v>
      </c>
    </row>
    <row r="4" spans="1:24" ht="15.75" thickBot="1" x14ac:dyDescent="0.3">
      <c r="A4">
        <v>2</v>
      </c>
      <c r="B4" s="143" t="s">
        <v>270</v>
      </c>
      <c r="C4" s="145">
        <f>+SUMIFS('Cuadro 2 (columna AD-AC)'!$K:$K,'Cuadro 2 (columna AD-AC)'!$C:$C,Resumen!$A4,'Cuadro 2 (columna AD-AC)'!$G:$G,"HABITAT",'Cuadro 2 (columna AD-AC)'!$D:$D,Resumen!$B4)</f>
        <v>1.1100000000000001</v>
      </c>
      <c r="E4" s="146" t="s">
        <v>67</v>
      </c>
      <c r="F4" s="145">
        <f>+SUMIFS('Cuadro 3'!$D:$D,'Cuadro 3'!$A:$A,Resumen!$E4)</f>
        <v>6.67</v>
      </c>
      <c r="H4" s="147" t="s">
        <v>67</v>
      </c>
      <c r="I4" s="145">
        <f>+SUMIFS('Cuadro 7'!$G:$G,'Cuadro 7'!$A:$A,Resumen!$H4)</f>
        <v>2450</v>
      </c>
      <c r="K4" s="147" t="s">
        <v>63</v>
      </c>
      <c r="L4" s="153" t="s">
        <v>56</v>
      </c>
      <c r="M4" s="58">
        <f>+SUMIFS('Cuadro 4'!$D:$D,'Cuadro 4'!$A:$A,Resumen!$K4,'Cuadro 4'!$O:$O,Resumen!$L4)</f>
        <v>1.3</v>
      </c>
      <c r="N4">
        <f>+(M4/100*I3+M17/100*I10)/((M17+M4)/100)</f>
        <v>3386.0481927710839</v>
      </c>
      <c r="O4" s="159" t="s">
        <v>21</v>
      </c>
      <c r="P4" s="171">
        <f>+SUM(C8:C10)</f>
        <v>42.47</v>
      </c>
      <c r="Q4" s="172">
        <f>+I16/365</f>
        <v>9.3726027397260268</v>
      </c>
      <c r="R4" s="188">
        <v>45.35</v>
      </c>
      <c r="S4" s="191">
        <v>9.39</v>
      </c>
      <c r="T4" s="175">
        <f>+R4-P4</f>
        <v>2.8800000000000026</v>
      </c>
      <c r="U4" s="172">
        <f>+S4-Q4</f>
        <v>1.7397260273973814E-2</v>
      </c>
      <c r="W4">
        <v>0.23476674986457641</v>
      </c>
      <c r="X4">
        <v>0.43100526368453146</v>
      </c>
    </row>
    <row r="5" spans="1:24" x14ac:dyDescent="0.25">
      <c r="A5">
        <v>3</v>
      </c>
      <c r="B5" s="144" t="s">
        <v>25</v>
      </c>
      <c r="C5" s="145">
        <f>+SUMIFS('Cuadro 2 (columna AD-AC)'!$K:$K,'Cuadro 2 (columna AD-AC)'!$C:$C,Resumen!$A5,'Cuadro 2 (columna AD-AC)'!$G:$G,"HABITAT",'Cuadro 2 (columna AD-AC)'!$D:$D,Resumen!$B5)</f>
        <v>1.1100000000000001</v>
      </c>
      <c r="E5" s="146" t="s">
        <v>83</v>
      </c>
      <c r="F5" s="145">
        <f>+SUMIFS('Cuadro 3'!$D:$D,'Cuadro 3'!$A:$A,Resumen!$E5)</f>
        <v>0.02</v>
      </c>
      <c r="H5" s="147" t="s">
        <v>83</v>
      </c>
      <c r="I5" s="145">
        <f>+SUMIFS('Cuadro 7'!$G:$G,'Cuadro 7'!$A:$A,Resumen!$H5)</f>
        <v>535</v>
      </c>
      <c r="K5" s="147" t="s">
        <v>65</v>
      </c>
      <c r="L5" s="153" t="s">
        <v>56</v>
      </c>
      <c r="M5" s="58">
        <f>+SUMIFS('Cuadro 4'!$D:$D,'Cuadro 4'!$A:$A,Resumen!$K5,'Cuadro 4'!$O:$O,Resumen!$L5)</f>
        <v>0.03</v>
      </c>
      <c r="O5" s="157" t="s">
        <v>277</v>
      </c>
      <c r="P5" s="165">
        <f>+C12</f>
        <v>17.59</v>
      </c>
      <c r="Q5" s="166">
        <f>+SUMPRODUCT(F18:F20,I21:I23)/SUM(F18:F20)/365</f>
        <v>6.9322856230579335</v>
      </c>
      <c r="R5" s="202">
        <v>41.34</v>
      </c>
      <c r="S5" s="197">
        <v>6.5</v>
      </c>
      <c r="T5" s="195">
        <f>R5-(P5+P6)</f>
        <v>16.640000000000004</v>
      </c>
      <c r="U5" s="197">
        <f>S5-SUMPRODUCT(P5:P6,Q5:Q6)/SUM(P5:P6)</f>
        <v>-0.97370417614109073</v>
      </c>
    </row>
    <row r="6" spans="1:24" ht="15.75" thickBot="1" x14ac:dyDescent="0.3">
      <c r="A6">
        <v>4</v>
      </c>
      <c r="B6" s="144" t="s">
        <v>271</v>
      </c>
      <c r="C6" s="145">
        <f>+SUMIFS('Cuadro 2 (columna AD-AC)'!$K:$K,'Cuadro 2 (columna AD-AC)'!$C:$C,Resumen!$A6,'Cuadro 2 (columna AD-AC)'!$G:$G,"HABITAT",'Cuadro 2 (columna AD-AC)'!$D:$D,Resumen!$B6)</f>
        <v>0</v>
      </c>
      <c r="E6" s="146" t="s">
        <v>95</v>
      </c>
      <c r="F6" s="145">
        <f>+SUMIFS('Cuadro 3'!$D:$D,'Cuadro 3'!$A:$A,Resumen!$E6)</f>
        <v>2.34</v>
      </c>
      <c r="H6" s="147" t="s">
        <v>95</v>
      </c>
      <c r="I6" s="145">
        <f>+SUMIFS('Cuadro 7'!$G:$G,'Cuadro 7'!$A:$A,Resumen!$H6)</f>
        <v>74</v>
      </c>
      <c r="K6" s="147" t="s">
        <v>65</v>
      </c>
      <c r="L6" s="153" t="s">
        <v>58</v>
      </c>
      <c r="M6" s="58">
        <f>+SUMIFS('Cuadro 4'!$D:$D,'Cuadro 4'!$A:$A,Resumen!$K6,'Cuadro 4'!$O:$O,Resumen!$L6)</f>
        <v>0.01</v>
      </c>
      <c r="O6" s="167" t="s">
        <v>330</v>
      </c>
      <c r="P6" s="168">
        <f>+C11</f>
        <v>7.11</v>
      </c>
      <c r="Q6" s="169">
        <f>+SUMPRODUCT(F29:F30,I18:I19)/SUM(F29:F30)/365</f>
        <v>8.8131630156253014</v>
      </c>
      <c r="R6" s="203"/>
      <c r="S6" s="198"/>
      <c r="T6" s="196"/>
      <c r="U6" s="198"/>
    </row>
    <row r="7" spans="1:24" x14ac:dyDescent="0.25">
      <c r="A7">
        <v>5</v>
      </c>
      <c r="B7" s="143" t="s">
        <v>272</v>
      </c>
      <c r="C7" s="145">
        <f>+SUMIFS('Cuadro 2 (columna AD-AC)'!$K:$K,'Cuadro 2 (columna AD-AC)'!$C:$C,Resumen!$A7,'Cuadro 2 (columna AD-AC)'!$G:$G,"HABITAT",'Cuadro 2 (columna AD-AC)'!$D:$D,Resumen!$B7)</f>
        <v>87.62</v>
      </c>
      <c r="E7" s="146" t="s">
        <v>97</v>
      </c>
      <c r="F7" s="145">
        <f>+SUMIFS('Cuadro 3'!$D:$D,'Cuadro 3'!$A:$A,Resumen!$E7)</f>
        <v>0</v>
      </c>
      <c r="H7" s="147" t="s">
        <v>97</v>
      </c>
      <c r="I7" s="145">
        <f>+SUMIFS('Cuadro 7'!$G:$G,'Cuadro 7'!$A:$A,Resumen!$H7)</f>
        <v>754</v>
      </c>
      <c r="K7" s="147" t="s">
        <v>67</v>
      </c>
      <c r="L7" s="153" t="s">
        <v>58</v>
      </c>
      <c r="M7" s="58">
        <f>+SUMIFS('Cuadro 4'!$D:$D,'Cuadro 4'!$A:$A,Resumen!$K7,'Cuadro 4'!$O:$O,Resumen!$L7)</f>
        <v>6.67</v>
      </c>
      <c r="O7" s="159" t="s">
        <v>23</v>
      </c>
      <c r="P7" s="164">
        <f>+C14</f>
        <v>19.93</v>
      </c>
      <c r="Q7" s="160">
        <f>+I24/365</f>
        <v>0.59452054794520548</v>
      </c>
      <c r="R7" s="189">
        <v>16.46</v>
      </c>
      <c r="S7" s="192">
        <v>0.4</v>
      </c>
      <c r="T7" s="176">
        <f>+R7-P7</f>
        <v>-3.4699999999999989</v>
      </c>
      <c r="U7" s="166">
        <f>+S7-Q7</f>
        <v>-0.19452054794520546</v>
      </c>
    </row>
    <row r="8" spans="1:24" x14ac:dyDescent="0.25">
      <c r="A8">
        <v>6</v>
      </c>
      <c r="B8" s="144" t="s">
        <v>273</v>
      </c>
      <c r="C8" s="145">
        <f>+SUMIFS('Cuadro 2 (columna AD-AC)'!$K:$K,'Cuadro 2 (columna AD-AC)'!$C:$C,Resumen!$A8,'Cuadro 2 (columna AD-AC)'!$G:$G,"HABITAT",'Cuadro 2 (columna AD-AC)'!$D:$D,Resumen!$B8)</f>
        <v>10.33</v>
      </c>
      <c r="E8" s="147" t="s">
        <v>216</v>
      </c>
      <c r="F8" s="145">
        <f>+SUMIFS('Cuadro 3'!$D:$D,'Cuadro 3'!$A:$A,Resumen!$E8)</f>
        <v>10.33</v>
      </c>
      <c r="H8" s="154" t="s">
        <v>216</v>
      </c>
      <c r="I8" s="145">
        <f>+SUMIFS('Cuadro 7'!$G:$G,'Cuadro 7'!$A:$A,Resumen!$H8)</f>
        <v>1793</v>
      </c>
      <c r="K8" s="147" t="s">
        <v>127</v>
      </c>
      <c r="L8" s="153" t="s">
        <v>166</v>
      </c>
      <c r="M8" s="58">
        <f>+SUMIFS('Cuadro 4'!$D:$D,'Cuadro 4'!$A:$A,Resumen!$K8,'Cuadro 4'!$O:$O,Resumen!$L8)</f>
        <v>0</v>
      </c>
      <c r="O8" s="159" t="s">
        <v>24</v>
      </c>
      <c r="P8" s="164">
        <f>+C13</f>
        <v>0.33</v>
      </c>
      <c r="Q8" s="160">
        <f>+I25/365</f>
        <v>4.117808219178082</v>
      </c>
      <c r="R8" s="159"/>
      <c r="S8" s="170"/>
      <c r="T8" s="177">
        <f t="shared" ref="T8:T14" si="0">+R8-P8</f>
        <v>-0.33</v>
      </c>
      <c r="U8" s="182"/>
    </row>
    <row r="9" spans="1:24" x14ac:dyDescent="0.25">
      <c r="A9">
        <v>7</v>
      </c>
      <c r="B9" s="144" t="s">
        <v>274</v>
      </c>
      <c r="C9" s="145">
        <f>+SUMIFS('Cuadro 2 (columna AD-AC)'!$K:$K,'Cuadro 2 (columna AD-AC)'!$C:$C,Resumen!$A9,'Cuadro 2 (columna AD-AC)'!$G:$G,"HABITAT",'Cuadro 2 (columna AD-AC)'!$D:$D,Resumen!$B9)</f>
        <v>31.98</v>
      </c>
      <c r="E9" s="146" t="s">
        <v>127</v>
      </c>
      <c r="F9" s="145">
        <f>+SUMIFS('Cuadro 3'!$D:$D,'Cuadro 3'!$A:$A,Resumen!$E9)</f>
        <v>0</v>
      </c>
      <c r="H9" s="147" t="s">
        <v>127</v>
      </c>
      <c r="I9" s="145">
        <f>+SUMIFS('Cuadro 7'!$G:$G,'Cuadro 7'!$A:$A,Resumen!$H9)</f>
        <v>3848</v>
      </c>
      <c r="K9" s="147" t="s">
        <v>127</v>
      </c>
      <c r="L9" s="153" t="s">
        <v>56</v>
      </c>
      <c r="M9" s="58">
        <f>+SUMIFS('Cuadro 4'!$D:$D,'Cuadro 4'!$A:$A,Resumen!$K9,'Cuadro 4'!$O:$O,Resumen!$L9)</f>
        <v>0</v>
      </c>
      <c r="O9" s="159" t="s">
        <v>327</v>
      </c>
      <c r="P9" s="164">
        <f>+F48</f>
        <v>6.15</v>
      </c>
      <c r="Q9" s="161">
        <f>+I28/365</f>
        <v>3.56986301369863</v>
      </c>
      <c r="R9" s="159"/>
      <c r="S9" s="170"/>
      <c r="T9" s="177">
        <f t="shared" si="0"/>
        <v>-6.15</v>
      </c>
      <c r="U9" s="182"/>
    </row>
    <row r="10" spans="1:24" x14ac:dyDescent="0.25">
      <c r="A10">
        <v>8</v>
      </c>
      <c r="B10" s="144" t="s">
        <v>275</v>
      </c>
      <c r="C10" s="145">
        <f>+SUMIFS('Cuadro 2 (columna AD-AC)'!$K:$K,'Cuadro 2 (columna AD-AC)'!$C:$C,Resumen!$A10,'Cuadro 2 (columna AD-AC)'!$G:$G,"HABITAT",'Cuadro 2 (columna AD-AC)'!$D:$D,Resumen!$B10)</f>
        <v>0.16</v>
      </c>
      <c r="E10" s="146" t="s">
        <v>77</v>
      </c>
      <c r="F10" s="145">
        <f>+SUMIFS('Cuadro 3'!$D:$D,'Cuadro 3'!$A:$A,Resumen!$E10)</f>
        <v>12.81</v>
      </c>
      <c r="H10" s="147" t="s">
        <v>77</v>
      </c>
      <c r="I10" s="145">
        <f>+SUMIFS('Cuadro 7'!$G:$G,'Cuadro 7'!$A:$A,Resumen!$H10)</f>
        <v>3574</v>
      </c>
      <c r="K10" s="147" t="s">
        <v>127</v>
      </c>
      <c r="L10" s="153" t="s">
        <v>57</v>
      </c>
      <c r="M10" s="58">
        <f>+SUMIFS('Cuadro 4'!$D:$D,'Cuadro 4'!$A:$A,Resumen!$K10,'Cuadro 4'!$O:$O,Resumen!$L10)</f>
        <v>0</v>
      </c>
      <c r="O10" s="159" t="s">
        <v>329</v>
      </c>
      <c r="P10" s="164">
        <f>+F40</f>
        <v>0.15</v>
      </c>
      <c r="Q10" s="161">
        <f>+I27/365</f>
        <v>7.419178082191781</v>
      </c>
      <c r="R10" s="159"/>
      <c r="S10" s="170"/>
      <c r="T10" s="177">
        <f t="shared" si="0"/>
        <v>-0.15</v>
      </c>
      <c r="U10" s="182"/>
    </row>
    <row r="11" spans="1:24" x14ac:dyDescent="0.25">
      <c r="A11">
        <v>9</v>
      </c>
      <c r="B11" s="144" t="s">
        <v>276</v>
      </c>
      <c r="C11" s="145">
        <f>+SUMIFS('Cuadro 2 (columna AD-AC)'!$K:$K,'Cuadro 2 (columna AD-AC)'!$C:$C,Resumen!$A11,'Cuadro 2 (columna AD-AC)'!$G:$G,"HABITAT",'Cuadro 2 (columna AD-AC)'!$D:$D,Resumen!$B11)</f>
        <v>7.11</v>
      </c>
      <c r="E11" s="146" t="s">
        <v>79</v>
      </c>
      <c r="F11" s="145">
        <f>+SUMIFS('Cuadro 3'!$D:$D,'Cuadro 3'!$A:$A,Resumen!$E11)</f>
        <v>19.16</v>
      </c>
      <c r="H11" s="147" t="s">
        <v>79</v>
      </c>
      <c r="I11" s="145">
        <f>+SUMIFS('Cuadro 7'!$G:$G,'Cuadro 7'!$A:$A,Resumen!$H11)</f>
        <v>4217</v>
      </c>
      <c r="K11" s="147" t="s">
        <v>71</v>
      </c>
      <c r="L11" s="153" t="s">
        <v>56</v>
      </c>
      <c r="M11" s="58">
        <f>+SUMIFS('Cuadro 4'!$D:$D,'Cuadro 4'!$A:$A,Resumen!$K11,'Cuadro 4'!$O:$O,Resumen!$L11)</f>
        <v>0.54</v>
      </c>
      <c r="O11" s="159" t="s">
        <v>328</v>
      </c>
      <c r="P11" s="164">
        <f>+C23-F48-F40</f>
        <v>3.569999999999999</v>
      </c>
      <c r="Q11" s="162" t="s">
        <v>139</v>
      </c>
      <c r="R11" s="159"/>
      <c r="S11" s="170"/>
      <c r="T11" s="177">
        <f t="shared" si="0"/>
        <v>-3.569999999999999</v>
      </c>
      <c r="U11" s="182"/>
    </row>
    <row r="12" spans="1:24" x14ac:dyDescent="0.25">
      <c r="A12">
        <v>10</v>
      </c>
      <c r="B12" s="144" t="s">
        <v>277</v>
      </c>
      <c r="C12" s="145">
        <f>+SUMIFS('Cuadro 2 (columna AD-AC)'!$K:$K,'Cuadro 2 (columna AD-AC)'!$C:$C,Resumen!$A12,'Cuadro 2 (columna AD-AC)'!$G:$G,"HABITAT",'Cuadro 2 (columna AD-AC)'!$D:$D,Resumen!$B12)</f>
        <v>17.59</v>
      </c>
      <c r="E12" s="147" t="s">
        <v>217</v>
      </c>
      <c r="F12" s="145">
        <f>+SUMIFS('Cuadro 3'!$D:$D,'Cuadro 3'!$A:$A,Resumen!$E12)</f>
        <v>31.98</v>
      </c>
      <c r="H12" s="154" t="s">
        <v>217</v>
      </c>
      <c r="I12" s="145">
        <f>+SUMIFS('Cuadro 7'!$G:$G,'Cuadro 7'!$A:$A,Resumen!$H12)</f>
        <v>3959</v>
      </c>
      <c r="K12" s="147" t="s">
        <v>71</v>
      </c>
      <c r="L12" s="153" t="s">
        <v>58</v>
      </c>
      <c r="M12" s="58">
        <f>+SUMIFS('Cuadro 4'!$D:$D,'Cuadro 4'!$A:$A,Resumen!$K12,'Cuadro 4'!$O:$O,Resumen!$L12)</f>
        <v>14.5</v>
      </c>
      <c r="O12" s="159" t="s">
        <v>288</v>
      </c>
      <c r="P12" s="164">
        <f>+C20</f>
        <v>1.22</v>
      </c>
      <c r="Q12" s="162" t="s">
        <v>139</v>
      </c>
      <c r="R12" s="159"/>
      <c r="S12" s="170"/>
      <c r="T12" s="177">
        <f t="shared" si="0"/>
        <v>-1.22</v>
      </c>
      <c r="U12" s="182"/>
    </row>
    <row r="13" spans="1:24" x14ac:dyDescent="0.25">
      <c r="A13">
        <v>11</v>
      </c>
      <c r="B13" s="144" t="s">
        <v>278</v>
      </c>
      <c r="C13" s="145">
        <f>+SUMIFS('Cuadro 2 (columna AD-AC)'!$K:$K,'Cuadro 2 (columna AD-AC)'!$C:$C,Resumen!$A13,'Cuadro 2 (columna AD-AC)'!$G:$G,"HABITAT",'Cuadro 2 (columna AD-AC)'!$D:$D,Resumen!$B13)</f>
        <v>0.33</v>
      </c>
      <c r="E13" s="146" t="s">
        <v>73</v>
      </c>
      <c r="F13" s="145">
        <f>+SUMIFS('Cuadro 3'!$D:$D,'Cuadro 3'!$A:$A,Resumen!$E13)</f>
        <v>0.15</v>
      </c>
      <c r="H13" s="147" t="s">
        <v>73</v>
      </c>
      <c r="I13" s="145">
        <f>+SUMIFS('Cuadro 7'!$G:$G,'Cuadro 7'!$A:$A,Resumen!$H13)</f>
        <v>911</v>
      </c>
      <c r="K13" s="147" t="s">
        <v>71</v>
      </c>
      <c r="L13" s="153" t="s">
        <v>57</v>
      </c>
      <c r="M13" s="58">
        <f>+SUMIFS('Cuadro 4'!$D:$D,'Cuadro 4'!$A:$A,Resumen!$K13,'Cuadro 4'!$O:$O,Resumen!$L13)</f>
        <v>0.42</v>
      </c>
      <c r="O13" s="159" t="s">
        <v>287</v>
      </c>
      <c r="P13" s="164">
        <f>+C5</f>
        <v>1.1100000000000001</v>
      </c>
      <c r="Q13" s="162" t="s">
        <v>139</v>
      </c>
      <c r="R13" s="159"/>
      <c r="S13" s="170"/>
      <c r="T13" s="177">
        <f t="shared" si="0"/>
        <v>-1.1100000000000001</v>
      </c>
      <c r="U13" s="182"/>
    </row>
    <row r="14" spans="1:24" ht="15.75" thickBot="1" x14ac:dyDescent="0.3">
      <c r="A14">
        <v>12</v>
      </c>
      <c r="B14" s="144" t="s">
        <v>279</v>
      </c>
      <c r="C14" s="145">
        <f>+SUMIFS('Cuadro 2 (columna AD-AC)'!$K:$K,'Cuadro 2 (columna AD-AC)'!$C:$C,Resumen!$A14,'Cuadro 2 (columna AD-AC)'!$G:$G,"HABITAT",'Cuadro 2 (columna AD-AC)'!$D:$D,Resumen!$B14)</f>
        <v>19.93</v>
      </c>
      <c r="E14" s="146" t="s">
        <v>81</v>
      </c>
      <c r="F14" s="145">
        <f>+SUMIFS('Cuadro 3'!$D:$D,'Cuadro 3'!$A:$A,Resumen!$E14)</f>
        <v>0.02</v>
      </c>
      <c r="H14" s="147" t="s">
        <v>81</v>
      </c>
      <c r="I14" s="145">
        <f>+SUMIFS('Cuadro 7'!$G:$G,'Cuadro 7'!$A:$A,Resumen!$H14)</f>
        <v>2314</v>
      </c>
      <c r="K14" s="147" t="s">
        <v>153</v>
      </c>
      <c r="L14" s="153" t="s">
        <v>58</v>
      </c>
      <c r="M14" s="58">
        <f>+SUMIFS('Cuadro 4'!$D:$D,'Cuadro 4'!$A:$A,Resumen!$K14,'Cuadro 4'!$O:$O,Resumen!$L14)</f>
        <v>0.04</v>
      </c>
      <c r="O14" s="159" t="s">
        <v>285</v>
      </c>
      <c r="P14" s="164">
        <f>+C15+C16+C17+C18+C6+C25</f>
        <v>0.34</v>
      </c>
      <c r="Q14" s="162" t="s">
        <v>139</v>
      </c>
      <c r="R14" s="159"/>
      <c r="S14" s="170"/>
      <c r="T14" s="177">
        <f t="shared" si="0"/>
        <v>-0.34</v>
      </c>
      <c r="U14" s="182"/>
    </row>
    <row r="15" spans="1:24" ht="15.75" thickBot="1" x14ac:dyDescent="0.3">
      <c r="A15">
        <v>13</v>
      </c>
      <c r="B15" s="144" t="s">
        <v>280</v>
      </c>
      <c r="C15" s="145">
        <f>+SUMIFS('Cuadro 2 (columna AD-AC)'!$K:$K,'Cuadro 2 (columna AD-AC)'!$C:$C,Resumen!$A15,'Cuadro 2 (columna AD-AC)'!$G:$G,"HABITAT",'Cuadro 2 (columna AD-AC)'!$D:$D,Resumen!$B15)</f>
        <v>0.11</v>
      </c>
      <c r="E15" s="147" t="s">
        <v>218</v>
      </c>
      <c r="F15" s="145">
        <f>+SUMIFS('Cuadro 3'!$D:$D,'Cuadro 3'!$A:$A,Resumen!$E15)</f>
        <v>0.16</v>
      </c>
      <c r="H15" s="147" t="s">
        <v>218</v>
      </c>
      <c r="I15" s="145">
        <f>+SUMIFS('Cuadro 7'!$G:$G,'Cuadro 7'!$A:$A,Resumen!$H15)</f>
        <v>1078</v>
      </c>
      <c r="K15" s="147" t="s">
        <v>73</v>
      </c>
      <c r="L15" s="153" t="s">
        <v>145</v>
      </c>
      <c r="M15" s="58">
        <f>+SUMIFS('Cuadro 4'!$D:$D,'Cuadro 4'!$A:$A,Resumen!$K15,'Cuadro 4'!$O:$O,Resumen!$L15)</f>
        <v>0.15</v>
      </c>
      <c r="O15" s="178" t="s">
        <v>289</v>
      </c>
      <c r="P15" s="179">
        <f>+SUM(P4:P14)</f>
        <v>99.97</v>
      </c>
      <c r="Q15" s="180">
        <f>+SUMPRODUCT(P4:P10,Q4:Q10)/SUM(P4:P10)</f>
        <v>6.6033301716238277</v>
      </c>
      <c r="R15" s="179">
        <v>100</v>
      </c>
      <c r="S15" s="172">
        <v>6.5</v>
      </c>
      <c r="T15" s="181"/>
      <c r="U15" s="183">
        <f>+S15-Q15</f>
        <v>-0.10333017162382774</v>
      </c>
    </row>
    <row r="16" spans="1:24" x14ac:dyDescent="0.25">
      <c r="A16">
        <v>14</v>
      </c>
      <c r="B16" s="144" t="s">
        <v>281</v>
      </c>
      <c r="C16" s="145">
        <f>+SUMIFS('Cuadro 2 (columna AD-AC)'!$K:$K,'Cuadro 2 (columna AD-AC)'!$C:$C,Resumen!$A16,'Cuadro 2 (columna AD-AC)'!$G:$G,"HABITAT",'Cuadro 2 (columna AD-AC)'!$D:$D,Resumen!$B16)</f>
        <v>7.0000000000000007E-2</v>
      </c>
      <c r="E16" s="148" t="s">
        <v>40</v>
      </c>
      <c r="F16" s="145">
        <f>+SUMIFS('Cuadro 3'!$D:$D,'Cuadro 3'!$A:$A,Resumen!$E16)</f>
        <v>42.47</v>
      </c>
      <c r="H16" s="148" t="s">
        <v>40</v>
      </c>
      <c r="I16" s="145">
        <f>+SUMIFS('Cuadro 7'!$G:$G,'Cuadro 7'!$A:$A,Resumen!$H16)</f>
        <v>3421</v>
      </c>
      <c r="K16" s="147" t="s">
        <v>75</v>
      </c>
      <c r="L16" s="153" t="s">
        <v>58</v>
      </c>
      <c r="M16" s="58">
        <f>+SUMIFS('Cuadro 4'!$D:$D,'Cuadro 4'!$A:$A,Resumen!$K16,'Cuadro 4'!$O:$O,Resumen!$L16)</f>
        <v>2.09</v>
      </c>
      <c r="Q16" s="155">
        <f>+I30/365</f>
        <v>6.602739726027397</v>
      </c>
    </row>
    <row r="17" spans="1:18" x14ac:dyDescent="0.25">
      <c r="A17">
        <v>15</v>
      </c>
      <c r="B17" s="144" t="s">
        <v>282</v>
      </c>
      <c r="C17" s="145">
        <f>+SUMIFS('Cuadro 2 (columna AD-AC)'!$K:$K,'Cuadro 2 (columna AD-AC)'!$C:$C,Resumen!$A17,'Cuadro 2 (columna AD-AC)'!$G:$G,"HABITAT",'Cuadro 2 (columna AD-AC)'!$D:$D,Resumen!$B17)</f>
        <v>0.1</v>
      </c>
      <c r="E17" s="147" t="s">
        <v>228</v>
      </c>
      <c r="F17" s="145">
        <f>+SUMIFS('Cuadro 3'!$D:$D,'Cuadro 3'!$A:$A,Resumen!$E17)</f>
        <v>1.1100000000000001</v>
      </c>
      <c r="H17" s="147" t="s">
        <v>172</v>
      </c>
      <c r="I17" s="145">
        <f>+SUMIFS('Cuadro 7'!$G:$G,'Cuadro 7'!$A:$A,Resumen!$H17)</f>
        <v>0</v>
      </c>
      <c r="K17" s="147" t="s">
        <v>77</v>
      </c>
      <c r="L17" s="153" t="s">
        <v>56</v>
      </c>
      <c r="M17" s="58">
        <f>+SUMIFS('Cuadro 4'!$D:$D,'Cuadro 4'!$A:$A,Resumen!$K17,'Cuadro 4'!$O:$O,Resumen!$L17)</f>
        <v>12.81</v>
      </c>
    </row>
    <row r="18" spans="1:18" x14ac:dyDescent="0.25">
      <c r="A18">
        <v>16</v>
      </c>
      <c r="B18" s="143" t="s">
        <v>283</v>
      </c>
      <c r="C18" s="145">
        <f>+SUMIFS('Cuadro 2 (columna AD-AC)'!$K:$K,'Cuadro 2 (columna AD-AC)'!$C:$C,Resumen!$A18,'Cuadro 2 (columna AD-AC)'!$G:$G,"HABITAT",'Cuadro 2 (columna AD-AC)'!$D:$D,Resumen!$B18)</f>
        <v>0.04</v>
      </c>
      <c r="E18" s="147" t="s">
        <v>71</v>
      </c>
      <c r="F18" s="145">
        <f>+SUMIFS('Cuadro 3'!$D:$D,'Cuadro 3'!$A:$A,Resumen!$E18)</f>
        <v>15.46</v>
      </c>
      <c r="H18" s="147" t="s">
        <v>65</v>
      </c>
      <c r="I18" s="145">
        <f>+SUMIFS('Cuadro 7'!$G:$G,'Cuadro 7'!$A:$A,Resumen!$H18)</f>
        <v>1238</v>
      </c>
      <c r="K18" s="147" t="s">
        <v>79</v>
      </c>
      <c r="L18" s="153" t="s">
        <v>58</v>
      </c>
      <c r="M18" s="58">
        <f>+SUMIFS('Cuadro 4'!$D:$D,'Cuadro 4'!$A:$A,Resumen!$K18,'Cuadro 4'!$O:$O,Resumen!$L18)</f>
        <v>19.16</v>
      </c>
      <c r="N18">
        <f>+(M18*I11+M7*I4)/(M7+M18)</f>
        <v>3760.7131242741002</v>
      </c>
    </row>
    <row r="19" spans="1:18" x14ac:dyDescent="0.25">
      <c r="A19">
        <v>17</v>
      </c>
      <c r="B19" s="142" t="s">
        <v>13</v>
      </c>
      <c r="C19" s="145">
        <f>+SUMIFS('Cuadro 2 (columna AD-AC)'!$K:$K,'Cuadro 2 (columna AD-AC)'!$C:$C,Resumen!$A19,'Cuadro 2 (columna AD-AC)'!$G:$G,"HABITAT",'Cuadro 2 (columna AD-AC)'!$D:$D,Resumen!$B19)</f>
        <v>11.14</v>
      </c>
      <c r="E19" s="147" t="s">
        <v>153</v>
      </c>
      <c r="F19" s="145">
        <f>+SUMIFS('Cuadro 3'!$D:$D,'Cuadro 3'!$A:$A,Resumen!$E19)</f>
        <v>0.04</v>
      </c>
      <c r="H19" s="147" t="s">
        <v>85</v>
      </c>
      <c r="I19" s="145">
        <f>+SUMIFS('Cuadro 7'!$G:$G,'Cuadro 7'!$A:$A,Resumen!$H19)</f>
        <v>3228</v>
      </c>
      <c r="K19" s="147" t="s">
        <v>81</v>
      </c>
      <c r="L19" s="153" t="s">
        <v>58</v>
      </c>
      <c r="M19" s="58">
        <f>+SUMIFS('Cuadro 4'!$D:$D,'Cuadro 4'!$A:$A,Resumen!$K19,'Cuadro 4'!$O:$O,Resumen!$L19)</f>
        <v>0.02</v>
      </c>
      <c r="N19">
        <f>+N18/365</f>
        <v>10.30332362814822</v>
      </c>
      <c r="O19" s="153" t="s">
        <v>56</v>
      </c>
      <c r="P19">
        <f t="shared" ref="P19:P28" si="1">+SUMIF($L:$L,$O19,$M:$M)</f>
        <v>28.63</v>
      </c>
      <c r="Q19" s="185">
        <f>+((P35+Q35+P37+P39+P41+P43+P45+P47)-(P34+Q34+P36+P38+P40+P42+P44+P46))/$P$31</f>
        <v>9.0324532358910734E-3</v>
      </c>
      <c r="R19" s="187">
        <f>+P19/100+Q19</f>
        <v>0.29533245323589108</v>
      </c>
    </row>
    <row r="20" spans="1:18" x14ac:dyDescent="0.25">
      <c r="A20">
        <v>18</v>
      </c>
      <c r="B20" s="143" t="s">
        <v>270</v>
      </c>
      <c r="C20" s="145">
        <f>+SUMIFS('Cuadro 2 (columna AD-AC)'!$K:$K,'Cuadro 2 (columna AD-AC)'!$C:$C,Resumen!$A20,'Cuadro 2 (columna AD-AC)'!$G:$G,"HABITAT",'Cuadro 2 (columna AD-AC)'!$D:$D,Resumen!$B20)</f>
        <v>1.22</v>
      </c>
      <c r="E20" s="147" t="s">
        <v>75</v>
      </c>
      <c r="F20" s="145">
        <f>+SUMIFS('Cuadro 3'!$D:$D,'Cuadro 3'!$A:$A,Resumen!$E20)</f>
        <v>2.09</v>
      </c>
      <c r="H20" s="148" t="s">
        <v>43</v>
      </c>
      <c r="I20" s="145">
        <f>+SUMIFS('Cuadro 7'!$G:$G,'Cuadro 7'!$A:$A,Resumen!$H20)</f>
        <v>3217</v>
      </c>
      <c r="K20" s="147" t="s">
        <v>83</v>
      </c>
      <c r="L20" s="153" t="s">
        <v>58</v>
      </c>
      <c r="M20" s="58">
        <f>+SUMIFS('Cuadro 4'!$D:$D,'Cuadro 4'!$A:$A,Resumen!$K20,'Cuadro 4'!$O:$O,Resumen!$L20)</f>
        <v>0.02</v>
      </c>
      <c r="O20" s="153" t="s">
        <v>58</v>
      </c>
      <c r="P20">
        <f t="shared" si="1"/>
        <v>56.800000000000004</v>
      </c>
      <c r="Q20" s="185">
        <f>+(P36-P37)/$P$31</f>
        <v>4.8917283623305066E-2</v>
      </c>
      <c r="R20" s="187">
        <f t="shared" ref="R20:R28" si="2">+P20/100+Q20</f>
        <v>0.61691728362330511</v>
      </c>
    </row>
    <row r="21" spans="1:18" x14ac:dyDescent="0.25">
      <c r="A21">
        <v>19</v>
      </c>
      <c r="B21" s="144" t="s">
        <v>284</v>
      </c>
      <c r="C21" s="145">
        <f>+SUMIFS('Cuadro 2 (columna AD-AC)'!$K:$K,'Cuadro 2 (columna AD-AC)'!$C:$C,Resumen!$A21,'Cuadro 2 (columna AD-AC)'!$G:$G,"HABITAT",'Cuadro 2 (columna AD-AC)'!$D:$D,Resumen!$B21)</f>
        <v>0</v>
      </c>
      <c r="E21" s="147" t="s">
        <v>87</v>
      </c>
      <c r="F21" s="145">
        <f>+SUMIFS('Cuadro 3'!$D:$D,'Cuadro 3'!$A:$A,Resumen!$E21)</f>
        <v>19.93</v>
      </c>
      <c r="H21" s="147" t="s">
        <v>71</v>
      </c>
      <c r="I21" s="145">
        <f>+SUMIFS('Cuadro 7'!$G:$G,'Cuadro 7'!$A:$A,Resumen!$H21)</f>
        <v>2311</v>
      </c>
      <c r="K21" s="147" t="s">
        <v>85</v>
      </c>
      <c r="L21" s="153" t="s">
        <v>56</v>
      </c>
      <c r="M21" s="58">
        <f>+SUMIFS('Cuadro 4'!$D:$D,'Cuadro 4'!$A:$A,Resumen!$K21,'Cuadro 4'!$O:$O,Resumen!$L21)</f>
        <v>0.09</v>
      </c>
      <c r="O21" s="153" t="s">
        <v>57</v>
      </c>
      <c r="P21">
        <f t="shared" si="1"/>
        <v>5.52</v>
      </c>
      <c r="Q21" s="185">
        <f>+((P34+Q34+P48+P51+P53+P54+P57+P58)-(P35+Q35+P49+P50+P52+P55+P56+P59))/$P$31</f>
        <v>-4.8191358567897712E-2</v>
      </c>
      <c r="R21" s="187">
        <f>+P21/100+Q21</f>
        <v>7.0086414321022875E-3</v>
      </c>
    </row>
    <row r="22" spans="1:18" x14ac:dyDescent="0.25">
      <c r="A22">
        <v>20</v>
      </c>
      <c r="B22" s="144" t="s">
        <v>285</v>
      </c>
      <c r="C22" s="145">
        <f>+SUMIFS('Cuadro 2 (columna AD-AC)'!$K:$K,'Cuadro 2 (columna AD-AC)'!$C:$C,Resumen!$A22,'Cuadro 2 (columna AD-AC)'!$G:$G,"HABITAT",'Cuadro 2 (columna AD-AC)'!$D:$D,Resumen!$B22)</f>
        <v>1.22</v>
      </c>
      <c r="E22" s="147" t="s">
        <v>93</v>
      </c>
      <c r="F22" s="145">
        <f>+SUMIFS('Cuadro 3'!$D:$D,'Cuadro 3'!$A:$A,Resumen!$E22)</f>
        <v>0.33</v>
      </c>
      <c r="H22" s="147" t="s">
        <v>153</v>
      </c>
      <c r="I22" s="145">
        <f>+SUMIFS('Cuadro 7'!$G:$G,'Cuadro 7'!$A:$A,Resumen!$H22)</f>
        <v>2131</v>
      </c>
      <c r="K22" s="147" t="s">
        <v>85</v>
      </c>
      <c r="L22" s="153" t="s">
        <v>58</v>
      </c>
      <c r="M22" s="58">
        <f>+SUMIFS('Cuadro 4'!$D:$D,'Cuadro 4'!$A:$A,Resumen!$K22,'Cuadro 4'!$O:$O,Resumen!$L22)</f>
        <v>5.53</v>
      </c>
      <c r="O22" s="153" t="s">
        <v>166</v>
      </c>
      <c r="P22">
        <f t="shared" si="1"/>
        <v>0.99</v>
      </c>
      <c r="Q22" s="185">
        <f>+(P50-P51-P41-P58+P59)/$P$31</f>
        <v>-2.7797137965964742E-3</v>
      </c>
      <c r="R22" s="187">
        <f t="shared" si="2"/>
        <v>7.1202862034035249E-3</v>
      </c>
    </row>
    <row r="23" spans="1:18" x14ac:dyDescent="0.25">
      <c r="A23">
        <v>21</v>
      </c>
      <c r="B23" s="143" t="s">
        <v>272</v>
      </c>
      <c r="C23" s="145">
        <f>+SUMIFS('Cuadro 2 (columna AD-AC)'!$K:$K,'Cuadro 2 (columna AD-AC)'!$C:$C,Resumen!$A23,'Cuadro 2 (columna AD-AC)'!$G:$G,"HABITAT",'Cuadro 2 (columna AD-AC)'!$D:$D,Resumen!$B23)</f>
        <v>9.8699999999999992</v>
      </c>
      <c r="E23" s="147" t="s">
        <v>229</v>
      </c>
      <c r="F23" s="145">
        <f>+SUMIFS('Cuadro 3'!$D:$D,'Cuadro 3'!$A:$A,Resumen!$E23)</f>
        <v>0.02</v>
      </c>
      <c r="H23" s="147" t="s">
        <v>75</v>
      </c>
      <c r="I23" s="145">
        <f>+SUMIFS('Cuadro 7'!$G:$G,'Cuadro 7'!$A:$A,Resumen!$H23)</f>
        <v>4160</v>
      </c>
      <c r="K23" s="147" t="s">
        <v>85</v>
      </c>
      <c r="L23" s="153" t="s">
        <v>57</v>
      </c>
      <c r="M23" s="58">
        <f>+SUMIFS('Cuadro 4'!$D:$D,'Cuadro 4'!$A:$A,Resumen!$K23,'Cuadro 4'!$O:$O,Resumen!$L23)</f>
        <v>1.45</v>
      </c>
      <c r="O23" s="153" t="s">
        <v>145</v>
      </c>
      <c r="P23">
        <f t="shared" si="1"/>
        <v>0.15</v>
      </c>
      <c r="Q23" s="185"/>
      <c r="R23" s="187">
        <f t="shared" si="2"/>
        <v>1.5E-3</v>
      </c>
    </row>
    <row r="24" spans="1:18" x14ac:dyDescent="0.25">
      <c r="A24">
        <v>22</v>
      </c>
      <c r="B24" s="144" t="s">
        <v>282</v>
      </c>
      <c r="C24" s="145">
        <f>+SUMIFS('Cuadro 2 (columna AD-AC)'!$K:$K,'Cuadro 2 (columna AD-AC)'!$C:$C,Resumen!$A24,'Cuadro 2 (columna AD-AC)'!$G:$G,"HABITAT",'Cuadro 2 (columna AD-AC)'!$D:$D,Resumen!$B24)</f>
        <v>0.03</v>
      </c>
      <c r="E24" s="147" t="s">
        <v>230</v>
      </c>
      <c r="F24" s="145">
        <f>+SUMIFS('Cuadro 3'!$D:$D,'Cuadro 3'!$A:$A,Resumen!$E24)</f>
        <v>0.08</v>
      </c>
      <c r="H24" s="147" t="s">
        <v>87</v>
      </c>
      <c r="I24" s="145">
        <f>+SUMIFS('Cuadro 7'!$G:$G,'Cuadro 7'!$A:$A,Resumen!$H24)</f>
        <v>217</v>
      </c>
      <c r="K24" s="147" t="s">
        <v>93</v>
      </c>
      <c r="L24" s="153" t="s">
        <v>58</v>
      </c>
      <c r="M24" s="58">
        <f>+SUMIFS('Cuadro 4'!$D:$D,'Cuadro 4'!$A:$A,Resumen!$K24,'Cuadro 4'!$O:$O,Resumen!$L24)</f>
        <v>0.33</v>
      </c>
      <c r="O24" s="153" t="s">
        <v>165</v>
      </c>
      <c r="P24">
        <f t="shared" si="1"/>
        <v>0</v>
      </c>
      <c r="Q24" s="186"/>
      <c r="R24" s="187">
        <f t="shared" si="2"/>
        <v>0</v>
      </c>
    </row>
    <row r="25" spans="1:18" x14ac:dyDescent="0.25">
      <c r="A25">
        <v>23</v>
      </c>
      <c r="B25" s="143" t="s">
        <v>286</v>
      </c>
      <c r="C25" s="145">
        <f>+SUMIFS('Cuadro 2 (columna AD-AC)'!$K:$K,'Cuadro 2 (columna AD-AC)'!$C:$C,Resumen!$A25,'Cuadro 2 (columna AD-AC)'!$G:$G,"HABITAT",'Cuadro 2 (columna AD-AC)'!$D:$D,Resumen!$B25)</f>
        <v>0.02</v>
      </c>
      <c r="E25" s="148" t="s">
        <v>48</v>
      </c>
      <c r="F25" s="145">
        <f>+SUMIFS('Cuadro 3'!$D:$D,'Cuadro 3'!$A:$A,Resumen!$E25)</f>
        <v>38.159999999999997</v>
      </c>
      <c r="H25" s="147" t="s">
        <v>93</v>
      </c>
      <c r="I25" s="145">
        <f>+SUMIFS('Cuadro 7'!$G:$G,'Cuadro 7'!$A:$A,Resumen!$H25)</f>
        <v>1503</v>
      </c>
      <c r="K25" s="147" t="s">
        <v>97</v>
      </c>
      <c r="L25" s="153" t="s">
        <v>58</v>
      </c>
      <c r="M25" s="58">
        <f>+SUMIFS('Cuadro 4'!$D:$D,'Cuadro 4'!$A:$A,Resumen!$K25,'Cuadro 4'!$O:$O,Resumen!$L25)</f>
        <v>0</v>
      </c>
      <c r="O25" s="153" t="s">
        <v>61</v>
      </c>
      <c r="P25">
        <f t="shared" si="1"/>
        <v>1.64</v>
      </c>
      <c r="Q25" s="185">
        <f>+(P46+P49-P47-P48+P52-P53)/$P$31</f>
        <v>-6.9078151089688846E-3</v>
      </c>
      <c r="R25" s="187">
        <f t="shared" si="2"/>
        <v>9.4921848910311142E-3</v>
      </c>
    </row>
    <row r="26" spans="1:18" x14ac:dyDescent="0.25">
      <c r="A26">
        <v>24</v>
      </c>
      <c r="B26" s="137" t="s">
        <v>16</v>
      </c>
      <c r="C26" s="149">
        <f>+SUMIFS('Cuadro 2 (columna AD-AC)'!$K:$K,'Cuadro 2 (columna AD-AC)'!$C:$C,Resumen!$A26,'Cuadro 2 (columna AD-AC)'!$G:$G,"HABITAT",'Cuadro 2 (columna AD-AC)'!$D:$D,Resumen!$B26)</f>
        <v>100</v>
      </c>
      <c r="E26" s="147" t="s">
        <v>228</v>
      </c>
      <c r="F26" s="145">
        <f>+SUMIFS('Cuadro 3'!$D:$D,'Cuadro 3'!$A:$A,Resumen!$E26)</f>
        <v>1.1100000000000001</v>
      </c>
      <c r="H26" s="148" t="s">
        <v>48</v>
      </c>
      <c r="I26" s="145">
        <f>+SUMIFS('Cuadro 7'!$G:$G,'Cuadro 7'!$A:$A,Resumen!$H26)</f>
        <v>1303</v>
      </c>
      <c r="K26" s="156" t="s">
        <v>331</v>
      </c>
      <c r="L26" s="153"/>
      <c r="M26" s="58"/>
      <c r="O26" s="153" t="s">
        <v>163</v>
      </c>
      <c r="P26">
        <f t="shared" si="1"/>
        <v>0</v>
      </c>
      <c r="Q26" s="186"/>
      <c r="R26" s="187">
        <f t="shared" si="2"/>
        <v>0</v>
      </c>
    </row>
    <row r="27" spans="1:18" x14ac:dyDescent="0.25">
      <c r="A27">
        <v>25</v>
      </c>
      <c r="B27" s="137" t="s">
        <v>17</v>
      </c>
      <c r="C27" s="145">
        <f>+SUMIFS('Cuadro 2 (columna AD-AC)'!$K:$K,'Cuadro 2 (columna AD-AC)'!$C:$C,Resumen!$A27,'Cuadro 2 (columna AD-AC)'!$G:$G,"HABITAT",'Cuadro 2 (columna AD-AC)'!$D:$D,Resumen!$B27)</f>
        <v>2.33</v>
      </c>
      <c r="E27" s="147" t="s">
        <v>231</v>
      </c>
      <c r="F27" s="145">
        <f>+SUMIFS('Cuadro 3'!$D:$D,'Cuadro 3'!$A:$A,Resumen!$E27)</f>
        <v>0</v>
      </c>
      <c r="H27" s="147" t="s">
        <v>69</v>
      </c>
      <c r="I27" s="145">
        <f>+SUMIFS('Cuadro 7'!$G:$G,'Cuadro 7'!$A:$A,Resumen!$H27)</f>
        <v>2708</v>
      </c>
      <c r="K27" s="147" t="s">
        <v>87</v>
      </c>
      <c r="L27" s="153" t="s">
        <v>56</v>
      </c>
      <c r="M27" s="58">
        <f>+SUMIFS('Cuadro 4'!$D:$D,'Cuadro 4'!$A:$A,"Intermediación Financiera Nacional:DPF",'Cuadro 4'!$O:$O,Resumen!$L27)</f>
        <v>11.52</v>
      </c>
      <c r="O27" s="153" t="s">
        <v>60</v>
      </c>
      <c r="P27" s="58">
        <f t="shared" si="1"/>
        <v>0.01</v>
      </c>
      <c r="Q27" s="185">
        <f>+(P42-P43+P55-P54+P56-P57)/$P$31</f>
        <v>-7.0849385733014241E-5</v>
      </c>
      <c r="R27" s="187">
        <f t="shared" si="2"/>
        <v>2.9150614266985764E-5</v>
      </c>
    </row>
    <row r="28" spans="1:18" x14ac:dyDescent="0.25">
      <c r="A28">
        <v>26</v>
      </c>
      <c r="B28" s="137" t="s">
        <v>18</v>
      </c>
      <c r="C28" s="145">
        <f>+SUMIFS('Cuadro 2 (columna AD-AC)'!$K:$K,'Cuadro 2 (columna AD-AC)'!$C:$C,Resumen!$A28,'Cuadro 2 (columna AD-AC)'!$G:$G,"HABITAT",'Cuadro 2 (columna AD-AC)'!$D:$D,Resumen!$B28)</f>
        <v>97.48</v>
      </c>
      <c r="E28" s="147" t="s">
        <v>172</v>
      </c>
      <c r="F28" s="145">
        <f>+SUMIFS('Cuadro 3'!$D:$D,'Cuadro 3'!$A:$A,Resumen!$E28)</f>
        <v>0</v>
      </c>
      <c r="H28" s="147" t="s">
        <v>89</v>
      </c>
      <c r="I28" s="145">
        <f>+SUMIFS('Cuadro 7'!$G:$G,'Cuadro 7'!$A:$A,Resumen!$H28)</f>
        <v>1303</v>
      </c>
      <c r="K28" s="147" t="s">
        <v>87</v>
      </c>
      <c r="L28" s="153" t="s">
        <v>58</v>
      </c>
      <c r="M28" s="58">
        <f>+SUMIFS('Cuadro 4'!$D:$D,'Cuadro 4'!$A:$A,Resumen!$K28,'Cuadro 4'!$O:$O,Resumen!$L28)</f>
        <v>8.42</v>
      </c>
      <c r="O28" s="153" t="s">
        <v>62</v>
      </c>
      <c r="P28">
        <f t="shared" si="1"/>
        <v>0</v>
      </c>
      <c r="Q28" s="185">
        <f>+(P44-P45)/$P$31</f>
        <v>0</v>
      </c>
      <c r="R28" s="187">
        <f t="shared" si="2"/>
        <v>0</v>
      </c>
    </row>
    <row r="29" spans="1:18" x14ac:dyDescent="0.25">
      <c r="A29">
        <v>27</v>
      </c>
      <c r="B29" s="137" t="s">
        <v>19</v>
      </c>
      <c r="C29" s="145">
        <f>+SUMIFS('Cuadro 2 (columna AD-AC)'!$K:$K,'Cuadro 2 (columna AD-AC)'!$C:$C,Resumen!$A29,'Cuadro 2 (columna AD-AC)'!$G:$G,"HABITAT",'Cuadro 2 (columna AD-AC)'!$D:$D,Resumen!$B29)</f>
        <v>0.12</v>
      </c>
      <c r="E29" s="147" t="s">
        <v>65</v>
      </c>
      <c r="F29" s="145">
        <f>+SUMIFS('Cuadro 3'!$D:$D,'Cuadro 3'!$A:$A,Resumen!$E29)</f>
        <v>0.04</v>
      </c>
      <c r="H29" s="148" t="s">
        <v>52</v>
      </c>
      <c r="I29" s="145">
        <f>+SUMIFS('Cuadro 7'!$G:$G,'Cuadro 7'!$A:$A,Resumen!$H29)</f>
        <v>1343</v>
      </c>
      <c r="K29" s="147" t="s">
        <v>95</v>
      </c>
      <c r="L29" s="153" t="s">
        <v>56</v>
      </c>
      <c r="M29" s="58">
        <f>+SUMIFS('Cuadro 4'!$D:$D,'Cuadro 4'!$A:$A,Resumen!$K29,'Cuadro 4'!$O:$O,Resumen!$L29)</f>
        <v>2.34</v>
      </c>
      <c r="P29">
        <f>+SUM(P19:P28)</f>
        <v>93.740000000000009</v>
      </c>
      <c r="Q29" s="186"/>
    </row>
    <row r="30" spans="1:18" x14ac:dyDescent="0.25">
      <c r="A30">
        <v>28</v>
      </c>
      <c r="B30" s="137" t="s">
        <v>20</v>
      </c>
      <c r="C30" s="145">
        <f>+SUMIFS('Cuadro 2 (columna AD-AC)'!$K:$K,'Cuadro 2 (columna AD-AC)'!$C:$C,Resumen!$A30,'Cuadro 2 (columna AD-AC)'!$G:$G,"HABITAT",'Cuadro 2 (columna AD-AC)'!$D:$D,Resumen!$B30)</f>
        <v>0.06</v>
      </c>
      <c r="E30" s="147" t="s">
        <v>85</v>
      </c>
      <c r="F30" s="145">
        <f>+SUMIFS('Cuadro 3'!$D:$D,'Cuadro 3'!$A:$A,Resumen!$E30)</f>
        <v>7.07</v>
      </c>
      <c r="H30" s="148" t="s">
        <v>141</v>
      </c>
      <c r="I30" s="145">
        <f>+SUMIFS('Cuadro 7'!$G:$G,'Cuadro 7'!$A:$A,Resumen!$H30)</f>
        <v>2410</v>
      </c>
      <c r="K30" s="156" t="s">
        <v>332</v>
      </c>
      <c r="L30" s="153"/>
      <c r="M30" s="58"/>
    </row>
    <row r="31" spans="1:18" x14ac:dyDescent="0.25">
      <c r="E31" s="148" t="s">
        <v>43</v>
      </c>
      <c r="F31" s="145">
        <f>+SUMIFS('Cuadro 3'!$D:$D,'Cuadro 3'!$A:$A,Resumen!$E31)</f>
        <v>8.01</v>
      </c>
      <c r="K31" s="147" t="s">
        <v>69</v>
      </c>
      <c r="L31" s="153" t="s">
        <v>165</v>
      </c>
      <c r="M31" s="58">
        <f>+SUMIFS('Cuadro 4'!$D:$D,'Cuadro 4'!$A:$A,Resumen!$K31,'Cuadro 4'!$O:$O,Resumen!$L31)</f>
        <v>0</v>
      </c>
      <c r="O31" s="153" t="s">
        <v>334</v>
      </c>
      <c r="P31">
        <f>+SUMIFS('Cuadro 2 (columna AD-AC)'!$J:$J,'Cuadro 2 (columna AD-AC)'!$D:$D,"TOTAL ACTIVOS",'Cuadro 2 (columna AD-AC)'!$G:$G,"HABITAT")</f>
        <v>35568.410000000003</v>
      </c>
    </row>
    <row r="32" spans="1:18" ht="13.5" customHeight="1" x14ac:dyDescent="0.25">
      <c r="A32" s="21">
        <v>1</v>
      </c>
      <c r="B32" s="22" t="s">
        <v>290</v>
      </c>
      <c r="E32" s="147" t="s">
        <v>232</v>
      </c>
      <c r="F32" s="145">
        <f>+SUMIFS('Cuadro 3'!$D:$D,'Cuadro 3'!$A:$A,Resumen!$E32)</f>
        <v>0</v>
      </c>
      <c r="H32" s="21">
        <v>1</v>
      </c>
      <c r="I32" s="22" t="s">
        <v>174</v>
      </c>
      <c r="K32" s="147" t="s">
        <v>69</v>
      </c>
      <c r="L32" s="153" t="s">
        <v>61</v>
      </c>
      <c r="M32" s="58">
        <f>+SUMIFS('Cuadro 4'!$D:$D,'Cuadro 4'!$A:$A,Resumen!$K32,'Cuadro 4'!$O:$O,Resumen!$L32)</f>
        <v>0.01</v>
      </c>
    </row>
    <row r="33" spans="1:19" ht="13.5" customHeight="1" x14ac:dyDescent="0.25">
      <c r="A33" s="21">
        <v>2</v>
      </c>
      <c r="B33" s="22" t="s">
        <v>291</v>
      </c>
      <c r="E33" s="147" t="s">
        <v>233</v>
      </c>
      <c r="F33" s="145">
        <f>+SUMIFS('Cuadro 3'!$D:$D,'Cuadro 3'!$A:$A,Resumen!$E33)</f>
        <v>0</v>
      </c>
      <c r="H33" s="21" t="s">
        <v>172</v>
      </c>
      <c r="I33" s="22" t="s">
        <v>175</v>
      </c>
      <c r="K33" s="147" t="s">
        <v>69</v>
      </c>
      <c r="L33" s="153" t="s">
        <v>58</v>
      </c>
      <c r="M33" s="58">
        <f>+SUMIFS('Cuadro 4'!$D:$D,'Cuadro 4'!$A:$A,Resumen!$K33,'Cuadro 4'!$O:$O,Resumen!$L33)</f>
        <v>0.01</v>
      </c>
      <c r="O33" t="s">
        <v>335</v>
      </c>
    </row>
    <row r="34" spans="1:19" ht="13.5" customHeight="1" x14ac:dyDescent="0.25">
      <c r="A34" s="21">
        <v>3</v>
      </c>
      <c r="B34" s="22" t="s">
        <v>292</v>
      </c>
      <c r="E34" s="147" t="s">
        <v>234</v>
      </c>
      <c r="F34" s="145">
        <f>+SUMIFS('Cuadro 3'!$D:$D,'Cuadro 3'!$A:$A,Resumen!$E34)</f>
        <v>0.11</v>
      </c>
      <c r="H34" s="21" t="s">
        <v>63</v>
      </c>
      <c r="I34" s="22" t="s">
        <v>64</v>
      </c>
      <c r="K34" s="147" t="s">
        <v>69</v>
      </c>
      <c r="L34" s="153" t="s">
        <v>57</v>
      </c>
      <c r="M34" s="58">
        <f>+SUMIFS('Cuadro 4'!$D:$D,'Cuadro 4'!$A:$A,Resumen!$K34,'Cuadro 4'!$O:$O,Resumen!$L34)</f>
        <v>0.13</v>
      </c>
      <c r="O34" t="s">
        <v>336</v>
      </c>
      <c r="P34">
        <v>1919.22</v>
      </c>
      <c r="Q34" s="184">
        <v>11</v>
      </c>
    </row>
    <row r="35" spans="1:19" ht="13.5" customHeight="1" x14ac:dyDescent="0.25">
      <c r="E35" s="147" t="s">
        <v>235</v>
      </c>
      <c r="F35" s="145">
        <f>+SUMIFS('Cuadro 3'!$D:$D,'Cuadro 3'!$A:$A,Resumen!$E35)</f>
        <v>0</v>
      </c>
      <c r="H35" s="21" t="s">
        <v>65</v>
      </c>
      <c r="I35" s="22" t="s">
        <v>66</v>
      </c>
      <c r="K35" s="147" t="s">
        <v>89</v>
      </c>
      <c r="L35" s="153" t="s">
        <v>163</v>
      </c>
      <c r="M35" s="58">
        <f>+SUMIFS('Cuadro 4'!$D:$D,'Cuadro 4'!$A:$A,Resumen!$K35,'Cuadro 4'!$O:$O,Resumen!$L35)</f>
        <v>0</v>
      </c>
      <c r="O35" t="s">
        <v>337</v>
      </c>
      <c r="P35">
        <v>3578.58</v>
      </c>
      <c r="Q35" s="184">
        <v>364.5</v>
      </c>
    </row>
    <row r="36" spans="1:19" ht="13.5" customHeight="1" x14ac:dyDescent="0.25">
      <c r="E36" s="147" t="s">
        <v>236</v>
      </c>
      <c r="F36" s="145">
        <f>+SUMIFS('Cuadro 3'!$D:$D,'Cuadro 3'!$A:$A,Resumen!$E36)</f>
        <v>0</v>
      </c>
      <c r="H36" s="21" t="s">
        <v>67</v>
      </c>
      <c r="I36" s="22" t="s">
        <v>68</v>
      </c>
      <c r="K36" s="147" t="s">
        <v>89</v>
      </c>
      <c r="L36" s="153" t="s">
        <v>60</v>
      </c>
      <c r="M36" s="58">
        <f>+SUMIFS('Cuadro 4'!$D:$D,'Cuadro 4'!$A:$A,Resumen!$K36,'Cuadro 4'!$O:$O,Resumen!$L36)</f>
        <v>0.01</v>
      </c>
      <c r="O36" t="s">
        <v>338</v>
      </c>
      <c r="P36">
        <v>2803.53</v>
      </c>
    </row>
    <row r="37" spans="1:19" ht="13.5" customHeight="1" x14ac:dyDescent="0.25">
      <c r="E37" s="148" t="s">
        <v>187</v>
      </c>
      <c r="F37" s="145">
        <f>+SUMIFS('Cuadro 3'!$D:$D,'Cuadro 3'!$A:$A,Resumen!$E37)</f>
        <v>0.11</v>
      </c>
      <c r="H37" s="21" t="s">
        <v>127</v>
      </c>
      <c r="I37" s="22" t="s">
        <v>128</v>
      </c>
      <c r="K37" s="147" t="s">
        <v>89</v>
      </c>
      <c r="L37" s="153" t="s">
        <v>166</v>
      </c>
      <c r="M37" s="58">
        <f>+SUMIFS('Cuadro 4'!$D:$D,'Cuadro 4'!$A:$A,Resumen!$K37,'Cuadro 4'!$O:$O,Resumen!$L37)</f>
        <v>0.99</v>
      </c>
      <c r="O37" t="s">
        <v>339</v>
      </c>
      <c r="P37">
        <v>1063.6199999999999</v>
      </c>
    </row>
    <row r="38" spans="1:19" ht="13.5" customHeight="1" x14ac:dyDescent="0.25">
      <c r="E38" s="147" t="s">
        <v>231</v>
      </c>
      <c r="F38" s="145">
        <f>+SUMIFS('Cuadro 3'!$D:$D,'Cuadro 3'!$A:$A,Resumen!$E38)</f>
        <v>0</v>
      </c>
      <c r="H38" s="21" t="s">
        <v>69</v>
      </c>
      <c r="I38" s="22" t="s">
        <v>70</v>
      </c>
      <c r="K38" s="147" t="s">
        <v>89</v>
      </c>
      <c r="L38" s="153" t="s">
        <v>62</v>
      </c>
      <c r="M38" s="58">
        <f>+SUMIFS('Cuadro 4'!$D:$D,'Cuadro 4'!$A:$A,Resumen!$K38,'Cuadro 4'!$O:$O,Resumen!$L38)</f>
        <v>0</v>
      </c>
      <c r="O38" t="s">
        <v>340</v>
      </c>
    </row>
    <row r="39" spans="1:19" ht="13.5" customHeight="1" x14ac:dyDescent="0.25">
      <c r="E39" s="147" t="s">
        <v>237</v>
      </c>
      <c r="F39" s="145">
        <f>+SUMIFS('Cuadro 3'!$D:$D,'Cuadro 3'!$A:$A,Resumen!$E39)</f>
        <v>0</v>
      </c>
      <c r="H39" s="21" t="s">
        <v>71</v>
      </c>
      <c r="I39" s="22" t="s">
        <v>72</v>
      </c>
      <c r="K39" s="147" t="s">
        <v>89</v>
      </c>
      <c r="L39" s="153" t="s">
        <v>61</v>
      </c>
      <c r="M39" s="58">
        <f>+SUMIFS('Cuadro 4'!$D:$D,'Cuadro 4'!$A:$A,Resumen!$K39,'Cuadro 4'!$O:$O,Resumen!$L39)</f>
        <v>1.63</v>
      </c>
      <c r="O39" t="s">
        <v>341</v>
      </c>
    </row>
    <row r="40" spans="1:19" ht="13.5" customHeight="1" x14ac:dyDescent="0.25">
      <c r="E40" s="147" t="s">
        <v>69</v>
      </c>
      <c r="F40" s="145">
        <f>+SUMIFS('Cuadro 3'!$D:$D,'Cuadro 3'!$A:$A,Resumen!$E40)</f>
        <v>0.15</v>
      </c>
      <c r="H40" s="21" t="s">
        <v>153</v>
      </c>
      <c r="I40" s="22" t="s">
        <v>176</v>
      </c>
      <c r="K40" s="147" t="s">
        <v>89</v>
      </c>
      <c r="L40" s="153" t="s">
        <v>57</v>
      </c>
      <c r="M40" s="58">
        <f>+SUMIFS('Cuadro 4'!$D:$D,'Cuadro 4'!$A:$A,Resumen!$K40,'Cuadro 4'!$O:$O,Resumen!$L40)</f>
        <v>3.52</v>
      </c>
      <c r="O40" t="s">
        <v>342</v>
      </c>
    </row>
    <row r="41" spans="1:19" ht="13.5" customHeight="1" x14ac:dyDescent="0.25">
      <c r="E41" s="147" t="s">
        <v>238</v>
      </c>
      <c r="F41" s="145">
        <f>+SUMIFS('Cuadro 3'!$D:$D,'Cuadro 3'!$A:$A,Resumen!$E41)</f>
        <v>0</v>
      </c>
      <c r="H41" s="21" t="s">
        <v>73</v>
      </c>
      <c r="I41" s="22" t="s">
        <v>74</v>
      </c>
      <c r="O41" t="s">
        <v>343</v>
      </c>
      <c r="P41">
        <v>2.27</v>
      </c>
    </row>
    <row r="42" spans="1:19" ht="13.5" customHeight="1" x14ac:dyDescent="0.25">
      <c r="E42" s="147" t="s">
        <v>239</v>
      </c>
      <c r="F42" s="145">
        <f>+SUMIFS('Cuadro 3'!$D:$D,'Cuadro 3'!$A:$A,Resumen!$E42)</f>
        <v>0</v>
      </c>
      <c r="H42" s="21" t="s">
        <v>75</v>
      </c>
      <c r="I42" s="22" t="s">
        <v>76</v>
      </c>
      <c r="O42" t="s">
        <v>344</v>
      </c>
    </row>
    <row r="43" spans="1:19" ht="13.5" customHeight="1" x14ac:dyDescent="0.25">
      <c r="E43" s="147" t="s">
        <v>240</v>
      </c>
      <c r="F43" s="145">
        <f>+SUMIFS('Cuadro 3'!$D:$D,'Cuadro 3'!$A:$A,Resumen!$E43)</f>
        <v>0.2</v>
      </c>
      <c r="H43" s="21" t="s">
        <v>77</v>
      </c>
      <c r="I43" s="22" t="s">
        <v>78</v>
      </c>
      <c r="O43" t="s">
        <v>345</v>
      </c>
      <c r="P43">
        <v>0.14000000000000001</v>
      </c>
    </row>
    <row r="44" spans="1:19" ht="13.5" customHeight="1" x14ac:dyDescent="0.25">
      <c r="E44" s="147" t="s">
        <v>241</v>
      </c>
      <c r="F44" s="145">
        <f>+SUMIFS('Cuadro 3'!$D:$D,'Cuadro 3'!$A:$A,Resumen!$E44)</f>
        <v>0</v>
      </c>
      <c r="H44" s="21" t="s">
        <v>79</v>
      </c>
      <c r="I44" s="22" t="s">
        <v>80</v>
      </c>
      <c r="O44" t="s">
        <v>346</v>
      </c>
    </row>
    <row r="45" spans="1:19" ht="13.5" customHeight="1" x14ac:dyDescent="0.25">
      <c r="E45" s="147" t="s">
        <v>242</v>
      </c>
      <c r="F45" s="145">
        <f>+SUMIFS('Cuadro 3'!$D:$D,'Cuadro 3'!$A:$A,Resumen!$E45)</f>
        <v>0</v>
      </c>
      <c r="H45" s="21" t="s">
        <v>81</v>
      </c>
      <c r="I45" s="22" t="s">
        <v>82</v>
      </c>
      <c r="O45" t="s">
        <v>347</v>
      </c>
    </row>
    <row r="46" spans="1:19" ht="13.5" customHeight="1" x14ac:dyDescent="0.25">
      <c r="E46" s="147" t="s">
        <v>243</v>
      </c>
      <c r="F46" s="145">
        <f>+SUMIFS('Cuadro 3'!$D:$D,'Cuadro 3'!$A:$A,Resumen!$E46)</f>
        <v>3.02</v>
      </c>
      <c r="H46" s="21" t="s">
        <v>83</v>
      </c>
      <c r="I46" s="22" t="s">
        <v>84</v>
      </c>
      <c r="O46" t="s">
        <v>348</v>
      </c>
      <c r="R46">
        <f>0.5%*12</f>
        <v>0.06</v>
      </c>
    </row>
    <row r="47" spans="1:19" ht="13.5" customHeight="1" x14ac:dyDescent="0.25">
      <c r="E47" s="147" t="s">
        <v>244</v>
      </c>
      <c r="F47" s="145">
        <f>+SUMIFS('Cuadro 3'!$D:$D,'Cuadro 3'!$A:$A,Resumen!$E47)</f>
        <v>0</v>
      </c>
      <c r="H47" s="21" t="s">
        <v>85</v>
      </c>
      <c r="I47" s="22" t="s">
        <v>86</v>
      </c>
      <c r="O47" t="s">
        <v>349</v>
      </c>
      <c r="P47">
        <v>45.91</v>
      </c>
    </row>
    <row r="48" spans="1:19" ht="13.5" customHeight="1" x14ac:dyDescent="0.25">
      <c r="E48" s="147" t="s">
        <v>89</v>
      </c>
      <c r="F48" s="145">
        <f>+SUMIFS('Cuadro 3'!$D:$D,'Cuadro 3'!$A:$A,Resumen!$E48)</f>
        <v>6.15</v>
      </c>
      <c r="H48" s="21" t="s">
        <v>87</v>
      </c>
      <c r="I48" s="22" t="s">
        <v>88</v>
      </c>
      <c r="O48" s="184" t="s">
        <v>354</v>
      </c>
      <c r="P48">
        <v>161.11000000000001</v>
      </c>
      <c r="S48" s="190"/>
    </row>
    <row r="49" spans="5:19" ht="13.5" customHeight="1" x14ac:dyDescent="0.25">
      <c r="E49" s="147" t="s">
        <v>245</v>
      </c>
      <c r="F49" s="145">
        <f>+SUMIFS('Cuadro 3'!$D:$D,'Cuadro 3'!$A:$A,Resumen!$E49)</f>
        <v>1.22</v>
      </c>
      <c r="H49" s="21" t="s">
        <v>89</v>
      </c>
      <c r="I49" s="22" t="s">
        <v>90</v>
      </c>
      <c r="O49" s="184" t="s">
        <v>355</v>
      </c>
      <c r="P49">
        <v>42.22</v>
      </c>
      <c r="S49" s="190"/>
    </row>
    <row r="50" spans="5:19" ht="13.5" customHeight="1" x14ac:dyDescent="0.25">
      <c r="E50" s="147" t="s">
        <v>246</v>
      </c>
      <c r="F50" s="145">
        <f>+SUMIFS('Cuadro 3'!$D:$D,'Cuadro 3'!$A:$A,Resumen!$E50)</f>
        <v>0.2</v>
      </c>
      <c r="H50" s="21" t="s">
        <v>93</v>
      </c>
      <c r="I50" s="22" t="s">
        <v>94</v>
      </c>
      <c r="O50" s="184" t="s">
        <v>356</v>
      </c>
      <c r="P50">
        <v>178.11</v>
      </c>
    </row>
    <row r="51" spans="5:19" ht="13.5" customHeight="1" x14ac:dyDescent="0.25">
      <c r="E51" s="147" t="s">
        <v>247</v>
      </c>
      <c r="F51" s="145">
        <f>+SUMIFS('Cuadro 3'!$D:$D,'Cuadro 3'!$A:$A,Resumen!$E51)</f>
        <v>0</v>
      </c>
      <c r="H51" s="21" t="s">
        <v>95</v>
      </c>
      <c r="I51" s="22" t="s">
        <v>96</v>
      </c>
      <c r="O51" s="184" t="s">
        <v>357</v>
      </c>
      <c r="P51">
        <v>336.3</v>
      </c>
    </row>
    <row r="52" spans="5:19" ht="13.5" customHeight="1" x14ac:dyDescent="0.25">
      <c r="E52" s="147" t="s">
        <v>248</v>
      </c>
      <c r="F52" s="145">
        <f>+SUMIFS('Cuadro 3'!$D:$D,'Cuadro 3'!$A:$A,Resumen!$E52)</f>
        <v>0.02</v>
      </c>
      <c r="H52" s="21" t="s">
        <v>97</v>
      </c>
      <c r="I52" s="22" t="s">
        <v>98</v>
      </c>
      <c r="O52" s="184" t="s">
        <v>352</v>
      </c>
      <c r="P52">
        <v>44.15</v>
      </c>
    </row>
    <row r="53" spans="5:19" x14ac:dyDescent="0.25">
      <c r="E53" s="147" t="s">
        <v>249</v>
      </c>
      <c r="F53" s="145">
        <f>+SUMIFS('Cuadro 3'!$D:$D,'Cuadro 3'!$A:$A,Resumen!$E53)</f>
        <v>0.01</v>
      </c>
      <c r="O53" s="184" t="s">
        <v>353</v>
      </c>
      <c r="P53">
        <v>125.05</v>
      </c>
    </row>
    <row r="54" spans="5:19" x14ac:dyDescent="0.25">
      <c r="E54" s="148" t="s">
        <v>52</v>
      </c>
      <c r="F54" s="145">
        <f>+SUMIFS('Cuadro 3'!$D:$D,'Cuadro 3'!$A:$A,Resumen!$E54)</f>
        <v>11.03</v>
      </c>
      <c r="O54" s="184" t="s">
        <v>358</v>
      </c>
      <c r="P54">
        <v>28.25</v>
      </c>
    </row>
    <row r="55" spans="5:19" x14ac:dyDescent="0.25">
      <c r="E55" s="147" t="s">
        <v>250</v>
      </c>
      <c r="F55" s="145">
        <f>+SUMIFS('Cuadro 3'!$D:$D,'Cuadro 3'!$A:$A,Resumen!$E55)</f>
        <v>7.0000000000000007E-2</v>
      </c>
      <c r="O55" s="184" t="s">
        <v>359</v>
      </c>
      <c r="P55">
        <v>23.58</v>
      </c>
    </row>
    <row r="56" spans="5:19" x14ac:dyDescent="0.25">
      <c r="E56" s="147" t="s">
        <v>251</v>
      </c>
      <c r="F56" s="145">
        <f>+SUMIFS('Cuadro 3'!$D:$D,'Cuadro 3'!$A:$A,Resumen!$E56)</f>
        <v>0.08</v>
      </c>
      <c r="O56" s="184" t="s">
        <v>360</v>
      </c>
      <c r="P56">
        <v>12.32</v>
      </c>
    </row>
    <row r="57" spans="5:19" x14ac:dyDescent="0.25">
      <c r="E57" s="147" t="s">
        <v>252</v>
      </c>
      <c r="F57" s="145">
        <f>+SUMIFS('Cuadro 3'!$D:$D,'Cuadro 3'!$A:$A,Resumen!$E57)</f>
        <v>0.06</v>
      </c>
      <c r="O57" s="184" t="s">
        <v>361</v>
      </c>
      <c r="P57">
        <v>10.029999999999999</v>
      </c>
    </row>
    <row r="58" spans="5:19" x14ac:dyDescent="0.25">
      <c r="E58" s="148" t="s">
        <v>204</v>
      </c>
      <c r="F58" s="145">
        <f>+SUMIFS('Cuadro 3'!$D:$D,'Cuadro 3'!$A:$A,Resumen!$E58)</f>
        <v>0.21</v>
      </c>
      <c r="O58" s="184" t="s">
        <v>362</v>
      </c>
      <c r="P58">
        <v>0</v>
      </c>
    </row>
    <row r="59" spans="5:19" x14ac:dyDescent="0.25">
      <c r="E59" s="148" t="s">
        <v>205</v>
      </c>
      <c r="F59" s="145">
        <f>+SUMIFS('Cuadro 3'!$D:$D,'Cuadro 3'!$A:$A,Resumen!$E59)</f>
        <v>0</v>
      </c>
      <c r="O59" s="184" t="s">
        <v>363</v>
      </c>
      <c r="P59">
        <v>61.59</v>
      </c>
    </row>
    <row r="60" spans="5:19" x14ac:dyDescent="0.25">
      <c r="E60" s="148" t="s">
        <v>206</v>
      </c>
      <c r="F60" s="145">
        <f>+SUMIFS('Cuadro 3'!$D:$D,'Cuadro 3'!$A:$A,Resumen!$E60)</f>
        <v>0</v>
      </c>
    </row>
    <row r="62" spans="5:19" ht="13.5" customHeight="1" x14ac:dyDescent="0.25">
      <c r="E62" s="21">
        <v>-1</v>
      </c>
      <c r="F62" s="22" t="s">
        <v>293</v>
      </c>
    </row>
    <row r="63" spans="5:19" ht="13.5" customHeight="1" x14ac:dyDescent="0.25">
      <c r="E63" s="21">
        <v>-2</v>
      </c>
      <c r="F63" s="22" t="s">
        <v>294</v>
      </c>
    </row>
    <row r="64" spans="5:19" ht="13.5" customHeight="1" x14ac:dyDescent="0.25">
      <c r="E64" s="21">
        <v>-3</v>
      </c>
      <c r="F64" s="22" t="s">
        <v>295</v>
      </c>
    </row>
    <row r="65" spans="5:6" ht="13.5" customHeight="1" x14ac:dyDescent="0.25">
      <c r="E65" s="21">
        <v>-4</v>
      </c>
      <c r="F65" s="22" t="s">
        <v>296</v>
      </c>
    </row>
    <row r="66" spans="5:6" ht="13.5" customHeight="1" x14ac:dyDescent="0.25">
      <c r="E66" s="21" t="s">
        <v>228</v>
      </c>
      <c r="F66" s="22" t="s">
        <v>297</v>
      </c>
    </row>
    <row r="67" spans="5:6" ht="13.5" customHeight="1" x14ac:dyDescent="0.25">
      <c r="E67" s="21" t="s">
        <v>231</v>
      </c>
      <c r="F67" s="22" t="s">
        <v>298</v>
      </c>
    </row>
    <row r="68" spans="5:6" ht="13.5" customHeight="1" x14ac:dyDescent="0.25">
      <c r="E68" s="21" t="s">
        <v>237</v>
      </c>
      <c r="F68" s="22" t="s">
        <v>299</v>
      </c>
    </row>
    <row r="69" spans="5:6" ht="13.5" customHeight="1" x14ac:dyDescent="0.25">
      <c r="E69" s="21" t="s">
        <v>172</v>
      </c>
      <c r="F69" s="22" t="s">
        <v>175</v>
      </c>
    </row>
    <row r="70" spans="5:6" ht="13.5" customHeight="1" x14ac:dyDescent="0.25">
      <c r="E70" s="21" t="s">
        <v>63</v>
      </c>
      <c r="F70" s="22" t="s">
        <v>64</v>
      </c>
    </row>
    <row r="71" spans="5:6" ht="13.5" customHeight="1" x14ac:dyDescent="0.25">
      <c r="E71" s="21" t="s">
        <v>65</v>
      </c>
      <c r="F71" s="22" t="s">
        <v>66</v>
      </c>
    </row>
    <row r="72" spans="5:6" ht="13.5" customHeight="1" x14ac:dyDescent="0.25">
      <c r="E72" s="21" t="s">
        <v>67</v>
      </c>
      <c r="F72" s="22" t="s">
        <v>68</v>
      </c>
    </row>
    <row r="73" spans="5:6" ht="13.5" customHeight="1" x14ac:dyDescent="0.25">
      <c r="E73" s="21" t="s">
        <v>127</v>
      </c>
      <c r="F73" s="22" t="s">
        <v>128</v>
      </c>
    </row>
    <row r="74" spans="5:6" ht="13.5" customHeight="1" x14ac:dyDescent="0.25">
      <c r="E74" s="21" t="s">
        <v>69</v>
      </c>
      <c r="F74" s="22" t="s">
        <v>70</v>
      </c>
    </row>
    <row r="75" spans="5:6" ht="13.5" customHeight="1" x14ac:dyDescent="0.25">
      <c r="E75" s="21" t="s">
        <v>71</v>
      </c>
      <c r="F75" s="22" t="s">
        <v>72</v>
      </c>
    </row>
    <row r="76" spans="5:6" ht="13.5" customHeight="1" x14ac:dyDescent="0.25">
      <c r="E76" s="21" t="s">
        <v>153</v>
      </c>
      <c r="F76" s="22" t="s">
        <v>176</v>
      </c>
    </row>
    <row r="77" spans="5:6" ht="13.5" customHeight="1" x14ac:dyDescent="0.25">
      <c r="E77" s="21" t="s">
        <v>73</v>
      </c>
      <c r="F77" s="22" t="s">
        <v>74</v>
      </c>
    </row>
    <row r="78" spans="5:6" ht="13.5" customHeight="1" x14ac:dyDescent="0.25">
      <c r="E78" s="21" t="s">
        <v>75</v>
      </c>
      <c r="F78" s="22" t="s">
        <v>76</v>
      </c>
    </row>
    <row r="79" spans="5:6" ht="13.5" customHeight="1" x14ac:dyDescent="0.25">
      <c r="E79" s="21" t="s">
        <v>77</v>
      </c>
      <c r="F79" s="22" t="s">
        <v>78</v>
      </c>
    </row>
    <row r="80" spans="5:6" ht="13.5" customHeight="1" x14ac:dyDescent="0.25">
      <c r="E80" s="21" t="s">
        <v>79</v>
      </c>
      <c r="F80" s="22" t="s">
        <v>80</v>
      </c>
    </row>
    <row r="81" spans="5:6" ht="13.5" customHeight="1" x14ac:dyDescent="0.25">
      <c r="E81" s="21" t="s">
        <v>81</v>
      </c>
      <c r="F81" s="22" t="s">
        <v>82</v>
      </c>
    </row>
    <row r="82" spans="5:6" ht="13.5" customHeight="1" x14ac:dyDescent="0.25">
      <c r="E82" s="21" t="s">
        <v>250</v>
      </c>
      <c r="F82" s="22" t="s">
        <v>300</v>
      </c>
    </row>
    <row r="83" spans="5:6" ht="13.5" customHeight="1" x14ac:dyDescent="0.25">
      <c r="E83" s="21" t="s">
        <v>251</v>
      </c>
      <c r="F83" s="22" t="s">
        <v>301</v>
      </c>
    </row>
    <row r="84" spans="5:6" ht="13.5" customHeight="1" x14ac:dyDescent="0.25">
      <c r="E84" s="21" t="s">
        <v>83</v>
      </c>
      <c r="F84" s="22" t="s">
        <v>84</v>
      </c>
    </row>
    <row r="85" spans="5:6" ht="13.5" customHeight="1" x14ac:dyDescent="0.25">
      <c r="E85" s="21" t="s">
        <v>232</v>
      </c>
      <c r="F85" s="22" t="s">
        <v>302</v>
      </c>
    </row>
    <row r="86" spans="5:6" ht="13.5" customHeight="1" x14ac:dyDescent="0.25">
      <c r="E86" s="21" t="s">
        <v>233</v>
      </c>
      <c r="F86" s="22" t="s">
        <v>302</v>
      </c>
    </row>
    <row r="87" spans="5:6" ht="13.5" customHeight="1" x14ac:dyDescent="0.25">
      <c r="E87" s="21" t="s">
        <v>234</v>
      </c>
      <c r="F87" s="22" t="s">
        <v>303</v>
      </c>
    </row>
    <row r="88" spans="5:6" ht="13.5" customHeight="1" x14ac:dyDescent="0.25">
      <c r="E88" s="21" t="s">
        <v>235</v>
      </c>
      <c r="F88" s="22" t="s">
        <v>303</v>
      </c>
    </row>
    <row r="89" spans="5:6" ht="13.5" customHeight="1" x14ac:dyDescent="0.25">
      <c r="E89" s="21" t="s">
        <v>242</v>
      </c>
      <c r="F89" s="22" t="s">
        <v>304</v>
      </c>
    </row>
    <row r="90" spans="5:6" ht="13.5" customHeight="1" x14ac:dyDescent="0.25">
      <c r="E90" s="21" t="s">
        <v>243</v>
      </c>
      <c r="F90" s="22" t="s">
        <v>305</v>
      </c>
    </row>
    <row r="91" spans="5:6" ht="13.5" customHeight="1" x14ac:dyDescent="0.25">
      <c r="E91" s="21" t="s">
        <v>244</v>
      </c>
      <c r="F91" s="22" t="s">
        <v>305</v>
      </c>
    </row>
    <row r="92" spans="5:6" ht="13.5" customHeight="1" x14ac:dyDescent="0.25">
      <c r="E92" s="21" t="s">
        <v>85</v>
      </c>
      <c r="F92" s="22" t="s">
        <v>86</v>
      </c>
    </row>
    <row r="93" spans="5:6" ht="13.5" customHeight="1" x14ac:dyDescent="0.25">
      <c r="E93" s="21" t="s">
        <v>87</v>
      </c>
      <c r="F93" s="22" t="s">
        <v>88</v>
      </c>
    </row>
    <row r="94" spans="5:6" ht="13.5" customHeight="1" x14ac:dyDescent="0.25">
      <c r="E94" s="21" t="s">
        <v>89</v>
      </c>
      <c r="F94" s="22" t="s">
        <v>90</v>
      </c>
    </row>
    <row r="95" spans="5:6" ht="13.5" customHeight="1" x14ac:dyDescent="0.25">
      <c r="E95" s="21" t="s">
        <v>245</v>
      </c>
      <c r="F95" s="22" t="s">
        <v>306</v>
      </c>
    </row>
    <row r="96" spans="5:6" ht="13.5" customHeight="1" x14ac:dyDescent="0.25">
      <c r="E96" s="21" t="s">
        <v>246</v>
      </c>
      <c r="F96" s="22" t="s">
        <v>307</v>
      </c>
    </row>
    <row r="97" spans="5:6" ht="13.5" customHeight="1" x14ac:dyDescent="0.25">
      <c r="E97" s="21" t="s">
        <v>236</v>
      </c>
      <c r="F97" s="22" t="s">
        <v>308</v>
      </c>
    </row>
    <row r="98" spans="5:6" ht="13.5" customHeight="1" x14ac:dyDescent="0.25">
      <c r="E98" s="21" t="s">
        <v>93</v>
      </c>
      <c r="F98" s="22" t="s">
        <v>94</v>
      </c>
    </row>
    <row r="99" spans="5:6" ht="13.5" customHeight="1" x14ac:dyDescent="0.25">
      <c r="E99" s="21" t="s">
        <v>95</v>
      </c>
      <c r="F99" s="22" t="s">
        <v>96</v>
      </c>
    </row>
    <row r="100" spans="5:6" ht="13.5" customHeight="1" x14ac:dyDescent="0.25">
      <c r="E100" s="21" t="s">
        <v>97</v>
      </c>
      <c r="F100" s="22" t="s">
        <v>98</v>
      </c>
    </row>
    <row r="101" spans="5:6" ht="13.5" customHeight="1" x14ac:dyDescent="0.25">
      <c r="E101" s="21" t="s">
        <v>247</v>
      </c>
      <c r="F101" s="22" t="s">
        <v>309</v>
      </c>
    </row>
    <row r="102" spans="5:6" ht="13.5" customHeight="1" x14ac:dyDescent="0.25">
      <c r="E102" s="21" t="s">
        <v>229</v>
      </c>
      <c r="F102" s="22" t="s">
        <v>310</v>
      </c>
    </row>
    <row r="103" spans="5:6" ht="13.5" customHeight="1" x14ac:dyDescent="0.25">
      <c r="E103" s="21" t="s">
        <v>311</v>
      </c>
      <c r="F103" s="22" t="s">
        <v>312</v>
      </c>
    </row>
    <row r="104" spans="5:6" ht="13.5" customHeight="1" x14ac:dyDescent="0.25">
      <c r="E104" s="21" t="s">
        <v>313</v>
      </c>
      <c r="F104" s="22" t="s">
        <v>312</v>
      </c>
    </row>
    <row r="105" spans="5:6" ht="13.5" customHeight="1" x14ac:dyDescent="0.25">
      <c r="E105" s="21" t="s">
        <v>314</v>
      </c>
      <c r="F105" s="22" t="s">
        <v>315</v>
      </c>
    </row>
    <row r="106" spans="5:6" ht="13.5" customHeight="1" x14ac:dyDescent="0.25">
      <c r="E106" s="21" t="s">
        <v>316</v>
      </c>
      <c r="F106" s="22" t="s">
        <v>317</v>
      </c>
    </row>
    <row r="107" spans="5:6" ht="13.5" customHeight="1" x14ac:dyDescent="0.25">
      <c r="E107" s="21" t="s">
        <v>318</v>
      </c>
      <c r="F107" s="22" t="s">
        <v>319</v>
      </c>
    </row>
    <row r="108" spans="5:6" ht="13.5" customHeight="1" x14ac:dyDescent="0.25">
      <c r="E108" s="21" t="s">
        <v>320</v>
      </c>
      <c r="F108" s="22" t="s">
        <v>319</v>
      </c>
    </row>
  </sheetData>
  <mergeCells count="9">
    <mergeCell ref="T2:U2"/>
    <mergeCell ref="T5:T6"/>
    <mergeCell ref="U5:U6"/>
    <mergeCell ref="B1:F1"/>
    <mergeCell ref="H1:I1"/>
    <mergeCell ref="P2:Q2"/>
    <mergeCell ref="R5:R6"/>
    <mergeCell ref="R2:S2"/>
    <mergeCell ref="S5:S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85" zoomScaleNormal="85" workbookViewId="0">
      <selection activeCell="F47" sqref="F47"/>
    </sheetView>
  </sheetViews>
  <sheetFormatPr baseColWidth="10" defaultRowHeight="15" x14ac:dyDescent="0.25"/>
  <cols>
    <col min="1" max="1" width="36.28515625" customWidth="1"/>
    <col min="2" max="2" width="30.5703125" customWidth="1"/>
    <col min="5" max="5" width="22.140625" bestFit="1" customWidth="1"/>
    <col min="8" max="8" width="40.42578125" customWidth="1"/>
  </cols>
  <sheetData>
    <row r="1" spans="1:8" ht="15.75" thickBot="1" x14ac:dyDescent="0.3">
      <c r="A1" s="204" t="s">
        <v>120</v>
      </c>
      <c r="B1" s="7"/>
    </row>
    <row r="2" spans="1:8" ht="15.75" thickBot="1" x14ac:dyDescent="0.3">
      <c r="A2" s="205"/>
      <c r="B2" s="3" t="s">
        <v>0</v>
      </c>
    </row>
    <row r="3" spans="1:8" ht="15.75" x14ac:dyDescent="0.3">
      <c r="A3" s="34" t="s">
        <v>1</v>
      </c>
      <c r="B3" s="89">
        <v>92.36</v>
      </c>
      <c r="C3" s="12">
        <f>+B3/100</f>
        <v>0.92359999999999998</v>
      </c>
    </row>
    <row r="4" spans="1:8" ht="16.5" thickBot="1" x14ac:dyDescent="0.35">
      <c r="A4" s="5" t="s">
        <v>2</v>
      </c>
      <c r="B4" s="90">
        <v>0.88</v>
      </c>
      <c r="C4" s="80">
        <f>+B4/100</f>
        <v>8.8000000000000005E-3</v>
      </c>
      <c r="F4" s="132">
        <v>42370</v>
      </c>
      <c r="G4" s="132">
        <v>42339</v>
      </c>
      <c r="H4" s="10"/>
    </row>
    <row r="5" spans="1:8" ht="15.75" x14ac:dyDescent="0.3">
      <c r="A5" s="5" t="s">
        <v>3</v>
      </c>
      <c r="B5" s="90">
        <v>0.88</v>
      </c>
      <c r="C5" s="80">
        <f t="shared" ref="C5:C28" si="0">+B5/100</f>
        <v>8.8000000000000005E-3</v>
      </c>
      <c r="E5" s="8" t="s">
        <v>21</v>
      </c>
      <c r="F5" s="9">
        <f>+C10+C8+C9</f>
        <v>0.41770000000000002</v>
      </c>
      <c r="G5" s="9">
        <v>0.46799999999999997</v>
      </c>
      <c r="H5" s="13">
        <f t="shared" ref="H5:H10" si="1">+F5-G5</f>
        <v>-5.0299999999999956E-2</v>
      </c>
    </row>
    <row r="6" spans="1:8" ht="15.75" x14ac:dyDescent="0.3">
      <c r="A6" s="5" t="s">
        <v>168</v>
      </c>
      <c r="B6" s="90" t="s">
        <v>139</v>
      </c>
      <c r="C6" s="80">
        <v>0</v>
      </c>
      <c r="E6" s="8" t="s">
        <v>22</v>
      </c>
      <c r="F6" s="9">
        <f>+C12+C11+C17+C15+C16+C18</f>
        <v>0.25600000000000001</v>
      </c>
      <c r="G6" s="9">
        <v>0.28010000000000002</v>
      </c>
      <c r="H6" s="13">
        <f t="shared" si="1"/>
        <v>-2.410000000000001E-2</v>
      </c>
    </row>
    <row r="7" spans="1:8" ht="15.75" x14ac:dyDescent="0.3">
      <c r="A7" s="5" t="s">
        <v>4</v>
      </c>
      <c r="B7" s="90">
        <v>91.51</v>
      </c>
      <c r="C7" s="80">
        <f>+B7/100</f>
        <v>0.91510000000000002</v>
      </c>
      <c r="E7" s="8" t="s">
        <v>23</v>
      </c>
      <c r="F7" s="9">
        <f>+C14</f>
        <v>0.23649999999999999</v>
      </c>
      <c r="G7" s="9">
        <v>0.1641</v>
      </c>
      <c r="H7" s="13">
        <f t="shared" si="1"/>
        <v>7.2399999999999992E-2</v>
      </c>
    </row>
    <row r="8" spans="1:8" ht="15.75" x14ac:dyDescent="0.3">
      <c r="A8" s="5" t="s">
        <v>5</v>
      </c>
      <c r="B8" s="90">
        <v>12.14</v>
      </c>
      <c r="C8" s="80">
        <f>+B8/100</f>
        <v>0.12140000000000001</v>
      </c>
      <c r="E8" s="8" t="s">
        <v>24</v>
      </c>
      <c r="F8" s="9">
        <f>+C13</f>
        <v>4.5999999999999999E-3</v>
      </c>
      <c r="G8" s="9">
        <v>5.6000000000000008E-3</v>
      </c>
      <c r="H8" s="13">
        <f t="shared" si="1"/>
        <v>-1.0000000000000009E-3</v>
      </c>
    </row>
    <row r="9" spans="1:8" ht="15.75" x14ac:dyDescent="0.3">
      <c r="A9" s="5" t="s">
        <v>6</v>
      </c>
      <c r="B9" s="90">
        <v>29.37</v>
      </c>
      <c r="C9" s="80">
        <f t="shared" si="0"/>
        <v>0.29370000000000002</v>
      </c>
      <c r="E9" s="8" t="s">
        <v>25</v>
      </c>
      <c r="F9" s="9">
        <f>+C4+C20</f>
        <v>4.4900000000000002E-2</v>
      </c>
      <c r="G9" s="9">
        <v>4.9200000000000008E-2</v>
      </c>
      <c r="H9" s="13">
        <f t="shared" si="1"/>
        <v>-4.3000000000000052E-3</v>
      </c>
    </row>
    <row r="10" spans="1:8" ht="16.5" thickBot="1" x14ac:dyDescent="0.35">
      <c r="A10" s="5" t="s">
        <v>7</v>
      </c>
      <c r="B10" s="90">
        <v>0.26</v>
      </c>
      <c r="C10" s="80">
        <f t="shared" si="0"/>
        <v>2.5999999999999999E-3</v>
      </c>
      <c r="E10" s="10" t="s">
        <v>26</v>
      </c>
      <c r="F10" s="11">
        <f>+C25+C24+C23</f>
        <v>4.0299999999999996E-2</v>
      </c>
      <c r="G10" s="11">
        <v>3.2799999999999996E-2</v>
      </c>
      <c r="H10" s="13">
        <f t="shared" si="1"/>
        <v>7.4999999999999997E-3</v>
      </c>
    </row>
    <row r="11" spans="1:8" ht="13.5" customHeight="1" x14ac:dyDescent="0.3">
      <c r="A11" s="5" t="s">
        <v>106</v>
      </c>
      <c r="B11" s="90">
        <v>9.41</v>
      </c>
      <c r="C11" s="80">
        <f t="shared" si="0"/>
        <v>9.4100000000000003E-2</v>
      </c>
      <c r="F11" s="9">
        <f>SUM(F5:F10)</f>
        <v>1</v>
      </c>
      <c r="G11" s="9">
        <f>SUM(G5:G10)</f>
        <v>0.99980000000000002</v>
      </c>
    </row>
    <row r="12" spans="1:8" ht="15.75" x14ac:dyDescent="0.3">
      <c r="A12" s="5" t="s">
        <v>8</v>
      </c>
      <c r="B12" s="90">
        <v>16.059999999999999</v>
      </c>
      <c r="C12" s="80">
        <f t="shared" si="0"/>
        <v>0.16059999999999999</v>
      </c>
    </row>
    <row r="13" spans="1:8" ht="16.5" thickBot="1" x14ac:dyDescent="0.35">
      <c r="A13" s="5" t="s">
        <v>9</v>
      </c>
      <c r="B13" s="90">
        <v>0.46</v>
      </c>
      <c r="C13" s="80">
        <f t="shared" si="0"/>
        <v>4.5999999999999999E-3</v>
      </c>
      <c r="F13" s="132">
        <v>42401</v>
      </c>
      <c r="G13" s="132">
        <v>42339</v>
      </c>
      <c r="H13" s="10"/>
    </row>
    <row r="14" spans="1:8" ht="15.75" x14ac:dyDescent="0.3">
      <c r="A14" s="5" t="s">
        <v>10</v>
      </c>
      <c r="B14" s="90">
        <v>23.65</v>
      </c>
      <c r="C14" s="80">
        <f t="shared" si="0"/>
        <v>0.23649999999999999</v>
      </c>
      <c r="E14" s="8" t="s">
        <v>21</v>
      </c>
      <c r="F14" s="14">
        <f>+C47</f>
        <v>8.6849315068493151</v>
      </c>
      <c r="G14" s="14">
        <v>9.0500000000000007</v>
      </c>
      <c r="H14" s="38">
        <f t="shared" ref="H14:H19" si="2">+F14-G14</f>
        <v>-0.36506849315068557</v>
      </c>
    </row>
    <row r="15" spans="1:8" ht="15.75" x14ac:dyDescent="0.3">
      <c r="A15" s="5" t="s">
        <v>11</v>
      </c>
      <c r="B15" s="90">
        <v>0.03</v>
      </c>
      <c r="C15" s="80">
        <f t="shared" si="0"/>
        <v>2.9999999999999997E-4</v>
      </c>
      <c r="E15" s="8" t="s">
        <v>22</v>
      </c>
      <c r="F15" s="14">
        <f>+G53</f>
        <v>7.9167270597200572</v>
      </c>
      <c r="G15" s="14">
        <v>7.9086423020120478</v>
      </c>
      <c r="H15" s="38">
        <f t="shared" si="2"/>
        <v>8.0847577080094268E-3</v>
      </c>
    </row>
    <row r="16" spans="1:8" ht="15.75" x14ac:dyDescent="0.3">
      <c r="A16" s="5" t="s">
        <v>169</v>
      </c>
      <c r="B16" s="90">
        <v>0.13</v>
      </c>
      <c r="C16" s="80">
        <f t="shared" si="0"/>
        <v>1.2999999999999999E-3</v>
      </c>
      <c r="E16" s="8" t="s">
        <v>23</v>
      </c>
      <c r="F16" s="14">
        <f>+C56</f>
        <v>0.59452054794520548</v>
      </c>
      <c r="G16" s="14">
        <v>0.78333333333333333</v>
      </c>
      <c r="H16" s="38">
        <f t="shared" si="2"/>
        <v>-0.18881278538812785</v>
      </c>
    </row>
    <row r="17" spans="1:8" ht="15.75" x14ac:dyDescent="0.3">
      <c r="A17" s="5" t="s">
        <v>12</v>
      </c>
      <c r="B17" s="90">
        <v>-0.04</v>
      </c>
      <c r="C17" s="80">
        <f t="shared" si="0"/>
        <v>-4.0000000000000002E-4</v>
      </c>
      <c r="E17" s="8" t="s">
        <v>24</v>
      </c>
      <c r="F17" s="14">
        <f>+C57</f>
        <v>4.2684931506849315</v>
      </c>
      <c r="G17" s="14">
        <v>4.2388888888888889</v>
      </c>
      <c r="H17" s="38">
        <f t="shared" si="2"/>
        <v>2.9604261796042586E-2</v>
      </c>
    </row>
    <row r="18" spans="1:8" ht="15.75" x14ac:dyDescent="0.3">
      <c r="A18" s="5" t="s">
        <v>170</v>
      </c>
      <c r="B18" s="90">
        <v>0.01</v>
      </c>
      <c r="C18" s="80">
        <f t="shared" si="0"/>
        <v>1E-4</v>
      </c>
      <c r="E18" s="8" t="s">
        <v>25</v>
      </c>
      <c r="F18" s="14">
        <v>0</v>
      </c>
      <c r="G18" s="14">
        <v>0</v>
      </c>
      <c r="H18" s="38">
        <f t="shared" si="2"/>
        <v>0</v>
      </c>
    </row>
    <row r="19" spans="1:8" ht="16.5" thickBot="1" x14ac:dyDescent="0.35">
      <c r="A19" s="4" t="s">
        <v>13</v>
      </c>
      <c r="B19" s="90">
        <v>7.64</v>
      </c>
      <c r="C19" s="80">
        <f>+B19/100</f>
        <v>7.6399999999999996E-2</v>
      </c>
      <c r="E19" s="10" t="s">
        <v>26</v>
      </c>
      <c r="F19" s="15">
        <f>+C62</f>
        <v>3.7479452054794522</v>
      </c>
      <c r="G19" s="15">
        <v>6.1138888888888889</v>
      </c>
      <c r="H19" s="38">
        <f t="shared" si="2"/>
        <v>-2.3659436834094367</v>
      </c>
    </row>
    <row r="20" spans="1:8" ht="15.75" x14ac:dyDescent="0.3">
      <c r="A20" s="5" t="s">
        <v>2</v>
      </c>
      <c r="B20" s="90">
        <v>3.61</v>
      </c>
      <c r="C20" s="80">
        <f t="shared" si="0"/>
        <v>3.61E-2</v>
      </c>
      <c r="E20" s="40" t="s">
        <v>114</v>
      </c>
      <c r="F20" s="14">
        <f>+SUMPRODUCT(F5:F10,F14:F19)/SUM(F5:F8,F10)</f>
        <v>6.2461097137077868</v>
      </c>
      <c r="G20" s="14">
        <v>7.156984054415009</v>
      </c>
    </row>
    <row r="21" spans="1:8" ht="15.75" x14ac:dyDescent="0.3">
      <c r="A21" s="5" t="s">
        <v>14</v>
      </c>
      <c r="B21" s="90" t="s">
        <v>139</v>
      </c>
      <c r="C21" s="80" t="e">
        <f t="shared" si="0"/>
        <v>#VALUE!</v>
      </c>
    </row>
    <row r="22" spans="1:8" ht="16.5" thickBot="1" x14ac:dyDescent="0.35">
      <c r="A22" s="5" t="s">
        <v>15</v>
      </c>
      <c r="B22" s="90">
        <v>3.61</v>
      </c>
      <c r="C22" s="80">
        <f t="shared" si="0"/>
        <v>3.61E-2</v>
      </c>
      <c r="F22" s="59">
        <f>+SUMPRODUCT(F5:F10,F14:F19)/SUM(F5:F8,F10)</f>
        <v>6.2461097137077868</v>
      </c>
      <c r="G22" s="59">
        <f>+SUMPRODUCT(G5:G10,G14:G19)/SUM(G5:G8,G10)</f>
        <v>7.156984054415009</v>
      </c>
    </row>
    <row r="23" spans="1:8" ht="15.75" x14ac:dyDescent="0.3">
      <c r="A23" s="5" t="s">
        <v>4</v>
      </c>
      <c r="B23" s="90">
        <v>4.0199999999999996</v>
      </c>
      <c r="C23" s="80">
        <f>+B23/100</f>
        <v>4.0199999999999993E-2</v>
      </c>
    </row>
    <row r="24" spans="1:8" ht="15.75" x14ac:dyDescent="0.3">
      <c r="A24" s="5" t="s">
        <v>12</v>
      </c>
      <c r="B24" s="90">
        <v>0.01</v>
      </c>
      <c r="C24" s="80">
        <f t="shared" si="0"/>
        <v>1E-4</v>
      </c>
    </row>
    <row r="25" spans="1:8" ht="15.75" x14ac:dyDescent="0.3">
      <c r="A25" s="5" t="s">
        <v>171</v>
      </c>
      <c r="B25" s="90">
        <v>0</v>
      </c>
      <c r="C25" s="80">
        <f t="shared" si="0"/>
        <v>0</v>
      </c>
    </row>
    <row r="26" spans="1:8" ht="15.75" x14ac:dyDescent="0.3">
      <c r="A26" s="4" t="s">
        <v>16</v>
      </c>
      <c r="B26" s="90">
        <v>100</v>
      </c>
      <c r="C26" s="80">
        <f>+B26/100</f>
        <v>1</v>
      </c>
      <c r="F26" s="65"/>
      <c r="G26" s="65"/>
    </row>
    <row r="27" spans="1:8" ht="15.75" x14ac:dyDescent="0.3">
      <c r="A27" s="4" t="s">
        <v>17</v>
      </c>
      <c r="B27" s="90">
        <v>4.49</v>
      </c>
      <c r="C27" s="12">
        <f t="shared" si="0"/>
        <v>4.4900000000000002E-2</v>
      </c>
    </row>
    <row r="28" spans="1:8" ht="15.75" x14ac:dyDescent="0.3">
      <c r="A28" s="4" t="s">
        <v>18</v>
      </c>
      <c r="B28" s="90">
        <v>95.53</v>
      </c>
      <c r="C28" s="12">
        <f t="shared" si="0"/>
        <v>0.95530000000000004</v>
      </c>
    </row>
    <row r="29" spans="1:8" ht="15.75" x14ac:dyDescent="0.3">
      <c r="A29" s="4" t="s">
        <v>19</v>
      </c>
      <c r="B29" s="90">
        <v>-0.03</v>
      </c>
      <c r="C29" s="12">
        <f>+B29/100</f>
        <v>-2.9999999999999997E-4</v>
      </c>
    </row>
    <row r="30" spans="1:8" ht="16.5" thickBot="1" x14ac:dyDescent="0.35">
      <c r="A30" s="6" t="s">
        <v>20</v>
      </c>
      <c r="B30" s="61">
        <v>0.01</v>
      </c>
      <c r="C30" s="12">
        <f>+B30/100</f>
        <v>1E-4</v>
      </c>
    </row>
    <row r="32" spans="1:8" ht="15.75" thickBot="1" x14ac:dyDescent="0.3">
      <c r="A32" s="67" t="s">
        <v>121</v>
      </c>
    </row>
    <row r="33" spans="1:3" ht="15.75" thickBot="1" x14ac:dyDescent="0.3">
      <c r="A33" s="3" t="s">
        <v>27</v>
      </c>
      <c r="B33" s="3" t="s">
        <v>28</v>
      </c>
    </row>
    <row r="34" spans="1:3" ht="15.75" x14ac:dyDescent="0.3">
      <c r="A34" s="5" t="s">
        <v>29</v>
      </c>
      <c r="B34" s="88">
        <v>1745</v>
      </c>
    </row>
    <row r="35" spans="1:3" ht="15.75" x14ac:dyDescent="0.3">
      <c r="A35" s="5" t="s">
        <v>30</v>
      </c>
      <c r="B35" s="91">
        <v>2662</v>
      </c>
    </row>
    <row r="36" spans="1:3" ht="15.75" x14ac:dyDescent="0.3">
      <c r="A36" s="5" t="s">
        <v>31</v>
      </c>
      <c r="B36" s="91">
        <v>677</v>
      </c>
    </row>
    <row r="37" spans="1:3" ht="15.75" x14ac:dyDescent="0.3">
      <c r="A37" s="5" t="s">
        <v>119</v>
      </c>
      <c r="B37" s="91">
        <v>19</v>
      </c>
    </row>
    <row r="38" spans="1:3" ht="15.75" x14ac:dyDescent="0.3">
      <c r="A38" s="5" t="s">
        <v>32</v>
      </c>
      <c r="B38" s="91">
        <v>824</v>
      </c>
    </row>
    <row r="39" spans="1:3" ht="15.75" x14ac:dyDescent="0.3">
      <c r="A39" s="5" t="s">
        <v>33</v>
      </c>
      <c r="B39" s="91">
        <v>2024</v>
      </c>
    </row>
    <row r="40" spans="1:3" ht="15.75" x14ac:dyDescent="0.3">
      <c r="A40" s="5" t="s">
        <v>126</v>
      </c>
      <c r="B40" s="91">
        <v>3121</v>
      </c>
    </row>
    <row r="41" spans="1:3" ht="15.75" x14ac:dyDescent="0.3">
      <c r="A41" s="5" t="s">
        <v>34</v>
      </c>
      <c r="B41" s="91">
        <v>3566</v>
      </c>
    </row>
    <row r="42" spans="1:3" ht="15.75" x14ac:dyDescent="0.3">
      <c r="A42" s="5" t="s">
        <v>35</v>
      </c>
      <c r="B42" s="91">
        <v>3702</v>
      </c>
    </row>
    <row r="43" spans="1:3" ht="15.75" x14ac:dyDescent="0.3">
      <c r="A43" s="5" t="s">
        <v>36</v>
      </c>
      <c r="B43" s="91">
        <v>3663</v>
      </c>
    </row>
    <row r="44" spans="1:3" ht="15.75" x14ac:dyDescent="0.3">
      <c r="A44" s="5" t="s">
        <v>37</v>
      </c>
      <c r="B44" s="91">
        <v>857</v>
      </c>
    </row>
    <row r="45" spans="1:3" ht="15.75" x14ac:dyDescent="0.3">
      <c r="A45" s="5" t="s">
        <v>38</v>
      </c>
      <c r="B45" s="91">
        <v>2381</v>
      </c>
    </row>
    <row r="46" spans="1:3" ht="15.75" x14ac:dyDescent="0.3">
      <c r="A46" s="5" t="s">
        <v>39</v>
      </c>
      <c r="B46" s="91">
        <v>1018</v>
      </c>
    </row>
    <row r="47" spans="1:3" ht="15.75" x14ac:dyDescent="0.3">
      <c r="A47" s="4" t="s">
        <v>40</v>
      </c>
      <c r="B47" s="91">
        <v>3170</v>
      </c>
      <c r="C47" s="16">
        <f>+B47/365</f>
        <v>8.6849315068493151</v>
      </c>
    </row>
    <row r="48" spans="1:3" ht="15.75" x14ac:dyDescent="0.3">
      <c r="A48" s="5" t="s">
        <v>167</v>
      </c>
      <c r="B48" s="91" t="s">
        <v>139</v>
      </c>
    </row>
    <row r="49" spans="1:11" ht="15.75" x14ac:dyDescent="0.3">
      <c r="A49" s="5" t="s">
        <v>41</v>
      </c>
      <c r="B49" s="91">
        <v>1201</v>
      </c>
    </row>
    <row r="50" spans="1:11" ht="15.75" x14ac:dyDescent="0.3">
      <c r="A50" s="5" t="s">
        <v>42</v>
      </c>
      <c r="B50" s="91">
        <v>3405</v>
      </c>
    </row>
    <row r="51" spans="1:11" ht="15.75" x14ac:dyDescent="0.3">
      <c r="A51" s="4" t="s">
        <v>43</v>
      </c>
      <c r="B51" s="91">
        <v>3396</v>
      </c>
    </row>
    <row r="52" spans="1:11" ht="16.5" thickBot="1" x14ac:dyDescent="0.35">
      <c r="A52" s="56" t="s">
        <v>44</v>
      </c>
      <c r="B52" s="91">
        <v>2287</v>
      </c>
      <c r="C52" s="13">
        <f>+C11</f>
        <v>9.4100000000000003E-2</v>
      </c>
      <c r="D52">
        <f>+B51</f>
        <v>3396</v>
      </c>
      <c r="H52" s="51" t="s">
        <v>118</v>
      </c>
    </row>
    <row r="53" spans="1:11" ht="16.5" thickBot="1" x14ac:dyDescent="0.35">
      <c r="A53" s="56" t="s">
        <v>152</v>
      </c>
      <c r="B53" s="91">
        <v>2232</v>
      </c>
      <c r="C53" s="13">
        <f>+C12</f>
        <v>0.16059999999999999</v>
      </c>
      <c r="D53" s="78">
        <f>+SUMPRODUCT(B52:B54,K53:K55)/SUM(K53:K55)</f>
        <v>2592.8947040498442</v>
      </c>
      <c r="E53" s="36">
        <f>+SUMPRODUCT(C52:C53,D52:D53)/SUM(C52:C53)</f>
        <v>2889.605376797821</v>
      </c>
      <c r="G53" s="35">
        <f>+E53/365</f>
        <v>7.9167270597200572</v>
      </c>
      <c r="H53" s="77">
        <v>14.21</v>
      </c>
      <c r="J53" s="130" t="s">
        <v>44</v>
      </c>
      <c r="K53" s="3">
        <v>13.46</v>
      </c>
    </row>
    <row r="54" spans="1:11" ht="16.5" thickBot="1" x14ac:dyDescent="0.35">
      <c r="A54" s="5" t="s">
        <v>45</v>
      </c>
      <c r="B54" s="91">
        <v>4221</v>
      </c>
      <c r="H54" s="77">
        <v>2.14</v>
      </c>
      <c r="J54" s="130" t="s">
        <v>152</v>
      </c>
      <c r="K54" s="3">
        <v>0.05</v>
      </c>
    </row>
    <row r="55" spans="1:11" ht="16.5" thickBot="1" x14ac:dyDescent="0.35">
      <c r="A55" s="5" t="s">
        <v>46</v>
      </c>
      <c r="B55" s="91">
        <v>217</v>
      </c>
      <c r="C55" s="16"/>
      <c r="H55" s="77">
        <v>0.05</v>
      </c>
      <c r="J55" s="130" t="s">
        <v>45</v>
      </c>
      <c r="K55" s="3">
        <v>2.54</v>
      </c>
    </row>
    <row r="56" spans="1:11" ht="15.75" x14ac:dyDescent="0.3">
      <c r="A56" s="5" t="s">
        <v>47</v>
      </c>
      <c r="B56" s="91">
        <v>1558</v>
      </c>
      <c r="C56" s="16">
        <f>+B55/365</f>
        <v>0.59452054794520548</v>
      </c>
    </row>
    <row r="57" spans="1:11" ht="15.75" x14ac:dyDescent="0.3">
      <c r="A57" s="4" t="s">
        <v>48</v>
      </c>
      <c r="B57" s="91">
        <v>1183</v>
      </c>
      <c r="C57" s="16">
        <f>+B56/365</f>
        <v>4.2684931506849315</v>
      </c>
    </row>
    <row r="58" spans="1:11" ht="15.75" x14ac:dyDescent="0.3">
      <c r="A58" s="5" t="s">
        <v>49</v>
      </c>
      <c r="B58" s="91">
        <v>3224</v>
      </c>
      <c r="C58" s="16"/>
    </row>
    <row r="59" spans="1:11" ht="15.75" x14ac:dyDescent="0.3">
      <c r="A59" s="5" t="s">
        <v>50</v>
      </c>
      <c r="B59" s="91">
        <v>1342</v>
      </c>
      <c r="C59" s="16"/>
    </row>
    <row r="60" spans="1:11" ht="16.5" thickBot="1" x14ac:dyDescent="0.35">
      <c r="A60" s="6" t="s">
        <v>52</v>
      </c>
      <c r="B60" s="91">
        <v>1368</v>
      </c>
      <c r="C60" s="16"/>
    </row>
    <row r="61" spans="1:11" ht="16.5" thickBot="1" x14ac:dyDescent="0.35">
      <c r="A61" t="s">
        <v>141</v>
      </c>
      <c r="B61" s="62">
        <v>2295</v>
      </c>
      <c r="C61" s="16"/>
    </row>
    <row r="62" spans="1:11" x14ac:dyDescent="0.25">
      <c r="B62">
        <f>+B61/365</f>
        <v>6.2876712328767121</v>
      </c>
      <c r="C62" s="16">
        <f>+B60/365</f>
        <v>3.7479452054794522</v>
      </c>
    </row>
    <row r="65" spans="1:2" ht="19.5" customHeight="1" x14ac:dyDescent="0.25">
      <c r="A65" s="21">
        <v>-1</v>
      </c>
      <c r="B65" s="22" t="s">
        <v>174</v>
      </c>
    </row>
    <row r="66" spans="1:2" x14ac:dyDescent="0.25">
      <c r="A66" s="21" t="s">
        <v>172</v>
      </c>
      <c r="B66" s="22" t="s">
        <v>175</v>
      </c>
    </row>
    <row r="67" spans="1:2" ht="27" x14ac:dyDescent="0.25">
      <c r="A67" s="21" t="s">
        <v>63</v>
      </c>
      <c r="B67" s="22" t="s">
        <v>64</v>
      </c>
    </row>
    <row r="68" spans="1:2" ht="27" x14ac:dyDescent="0.25">
      <c r="A68" s="21" t="s">
        <v>65</v>
      </c>
      <c r="B68" s="22" t="s">
        <v>66</v>
      </c>
    </row>
    <row r="69" spans="1:2" ht="27" x14ac:dyDescent="0.25">
      <c r="A69" s="21" t="s">
        <v>67</v>
      </c>
      <c r="B69" s="22" t="s">
        <v>68</v>
      </c>
    </row>
    <row r="70" spans="1:2" x14ac:dyDescent="0.25">
      <c r="A70" s="21" t="s">
        <v>127</v>
      </c>
      <c r="B70" s="22" t="s">
        <v>128</v>
      </c>
    </row>
    <row r="71" spans="1:2" ht="27" x14ac:dyDescent="0.25">
      <c r="A71" s="21" t="s">
        <v>69</v>
      </c>
      <c r="B71" s="22" t="s">
        <v>70</v>
      </c>
    </row>
    <row r="72" spans="1:2" ht="27" x14ac:dyDescent="0.25">
      <c r="A72" s="21" t="s">
        <v>71</v>
      </c>
      <c r="B72" s="22" t="s">
        <v>72</v>
      </c>
    </row>
    <row r="73" spans="1:2" ht="27" x14ac:dyDescent="0.25">
      <c r="A73" s="21" t="s">
        <v>153</v>
      </c>
      <c r="B73" s="22" t="s">
        <v>176</v>
      </c>
    </row>
    <row r="74" spans="1:2" ht="40.5" x14ac:dyDescent="0.25">
      <c r="A74" s="21" t="s">
        <v>73</v>
      </c>
      <c r="B74" s="22" t="s">
        <v>74</v>
      </c>
    </row>
    <row r="75" spans="1:2" ht="27" x14ac:dyDescent="0.25">
      <c r="A75" s="21" t="s">
        <v>75</v>
      </c>
      <c r="B75" s="22" t="s">
        <v>76</v>
      </c>
    </row>
    <row r="76" spans="1:2" ht="27" x14ac:dyDescent="0.25">
      <c r="A76" s="21" t="s">
        <v>77</v>
      </c>
      <c r="B76" s="22" t="s">
        <v>78</v>
      </c>
    </row>
    <row r="77" spans="1:2" ht="27" x14ac:dyDescent="0.25">
      <c r="A77" s="21" t="s">
        <v>79</v>
      </c>
      <c r="B77" s="22" t="s">
        <v>80</v>
      </c>
    </row>
    <row r="78" spans="1:2" x14ac:dyDescent="0.25">
      <c r="A78" s="21" t="s">
        <v>81</v>
      </c>
      <c r="B78" s="22" t="s">
        <v>82</v>
      </c>
    </row>
    <row r="79" spans="1:2" ht="27" x14ac:dyDescent="0.25">
      <c r="A79" s="21" t="s">
        <v>83</v>
      </c>
      <c r="B79" s="22" t="s">
        <v>84</v>
      </c>
    </row>
    <row r="80" spans="1:2" x14ac:dyDescent="0.25">
      <c r="A80" s="21" t="s">
        <v>85</v>
      </c>
      <c r="B80" s="22" t="s">
        <v>86</v>
      </c>
    </row>
    <row r="81" spans="1:2" ht="27" x14ac:dyDescent="0.25">
      <c r="A81" s="21" t="s">
        <v>87</v>
      </c>
      <c r="B81" s="22" t="s">
        <v>88</v>
      </c>
    </row>
    <row r="82" spans="1:2" ht="40.5" x14ac:dyDescent="0.25">
      <c r="A82" s="21" t="s">
        <v>89</v>
      </c>
      <c r="B82" s="22" t="s">
        <v>90</v>
      </c>
    </row>
    <row r="83" spans="1:2" ht="27" x14ac:dyDescent="0.25">
      <c r="A83" s="21" t="s">
        <v>93</v>
      </c>
      <c r="B83" s="22" t="s">
        <v>94</v>
      </c>
    </row>
    <row r="84" spans="1:2" x14ac:dyDescent="0.25">
      <c r="A84" s="21" t="s">
        <v>95</v>
      </c>
      <c r="B84" s="22" t="s">
        <v>96</v>
      </c>
    </row>
    <row r="85" spans="1:2" ht="27" x14ac:dyDescent="0.25">
      <c r="A85" s="21" t="s">
        <v>97</v>
      </c>
      <c r="B85" s="22" t="s">
        <v>98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V60"/>
  <sheetViews>
    <sheetView topLeftCell="V17" zoomScale="85" zoomScaleNormal="85" workbookViewId="0">
      <selection activeCell="AS3" activeCellId="1" sqref="AI3:AJ41 AS3:AS41"/>
    </sheetView>
  </sheetViews>
  <sheetFormatPr baseColWidth="10" defaultRowHeight="15" x14ac:dyDescent="0.25"/>
  <cols>
    <col min="1" max="1" width="16.42578125" bestFit="1" customWidth="1"/>
  </cols>
  <sheetData>
    <row r="1" spans="1:48" ht="27.75" thickBot="1" x14ac:dyDescent="0.3">
      <c r="A1" s="208"/>
      <c r="B1" s="206" t="s">
        <v>131</v>
      </c>
      <c r="C1" s="207"/>
      <c r="D1" s="206" t="s">
        <v>132</v>
      </c>
      <c r="E1" s="207"/>
      <c r="F1" s="206" t="s">
        <v>133</v>
      </c>
      <c r="G1" s="207"/>
      <c r="H1" s="206" t="s">
        <v>134</v>
      </c>
      <c r="I1" s="207"/>
      <c r="J1" s="206" t="s">
        <v>135</v>
      </c>
      <c r="K1" s="207"/>
      <c r="L1" s="206" t="s">
        <v>136</v>
      </c>
      <c r="M1" s="207"/>
      <c r="N1" s="206" t="s">
        <v>137</v>
      </c>
      <c r="O1" s="207"/>
      <c r="Q1" s="131" t="s">
        <v>27</v>
      </c>
      <c r="R1" s="131" t="s">
        <v>140</v>
      </c>
      <c r="S1" s="131" t="s">
        <v>149</v>
      </c>
      <c r="T1" s="131" t="s">
        <v>150</v>
      </c>
      <c r="U1" s="131" t="s">
        <v>151</v>
      </c>
      <c r="V1" s="131" t="s">
        <v>28</v>
      </c>
      <c r="W1" s="131" t="s">
        <v>173</v>
      </c>
      <c r="Y1" s="210" t="s">
        <v>27</v>
      </c>
      <c r="Z1" s="131" t="s">
        <v>140</v>
      </c>
      <c r="AA1" s="131" t="s">
        <v>149</v>
      </c>
      <c r="AB1" s="131" t="s">
        <v>150</v>
      </c>
      <c r="AC1" s="131" t="s">
        <v>151</v>
      </c>
      <c r="AD1" s="131" t="s">
        <v>28</v>
      </c>
      <c r="AE1" s="206" t="s">
        <v>137</v>
      </c>
      <c r="AF1" s="212"/>
      <c r="AG1" s="207"/>
      <c r="AI1" s="210" t="s">
        <v>142</v>
      </c>
      <c r="AJ1" s="210" t="s">
        <v>143</v>
      </c>
      <c r="AK1" s="206" t="s">
        <v>140</v>
      </c>
      <c r="AL1" s="207"/>
      <c r="AM1" s="206" t="s">
        <v>149</v>
      </c>
      <c r="AN1" s="207"/>
      <c r="AO1" s="206" t="s">
        <v>150</v>
      </c>
      <c r="AP1" s="207"/>
      <c r="AQ1" s="206" t="s">
        <v>151</v>
      </c>
      <c r="AR1" s="207"/>
      <c r="AS1" s="206" t="s">
        <v>28</v>
      </c>
      <c r="AT1" s="207"/>
      <c r="AU1" s="206" t="s">
        <v>137</v>
      </c>
      <c r="AV1" s="207"/>
    </row>
    <row r="2" spans="1:48" ht="27.75" thickBot="1" x14ac:dyDescent="0.3">
      <c r="A2" s="209"/>
      <c r="B2" s="126" t="s">
        <v>138</v>
      </c>
      <c r="C2" s="126" t="s">
        <v>0</v>
      </c>
      <c r="D2" s="126" t="s">
        <v>138</v>
      </c>
      <c r="E2" s="126" t="s">
        <v>0</v>
      </c>
      <c r="F2" s="126" t="s">
        <v>138</v>
      </c>
      <c r="G2" s="126" t="s">
        <v>0</v>
      </c>
      <c r="H2" s="126" t="s">
        <v>138</v>
      </c>
      <c r="I2" s="126" t="s">
        <v>0</v>
      </c>
      <c r="J2" s="126" t="s">
        <v>138</v>
      </c>
      <c r="K2" s="126" t="s">
        <v>0</v>
      </c>
      <c r="L2" s="126" t="s">
        <v>138</v>
      </c>
      <c r="M2" s="126" t="s">
        <v>0</v>
      </c>
      <c r="N2" s="126" t="s">
        <v>138</v>
      </c>
      <c r="O2" s="126" t="s">
        <v>0</v>
      </c>
      <c r="Q2" s="130" t="s">
        <v>29</v>
      </c>
      <c r="R2" s="3">
        <v>1830</v>
      </c>
      <c r="S2" s="3">
        <v>1624</v>
      </c>
      <c r="T2" s="3">
        <v>1656</v>
      </c>
      <c r="U2" s="3">
        <v>1639</v>
      </c>
      <c r="V2" s="3">
        <v>1745</v>
      </c>
      <c r="W2" s="3">
        <v>1675</v>
      </c>
      <c r="Y2" s="211"/>
      <c r="Z2" s="126" t="s">
        <v>0</v>
      </c>
      <c r="AA2" s="126" t="s">
        <v>0</v>
      </c>
      <c r="AB2" s="126" t="s">
        <v>0</v>
      </c>
      <c r="AC2" s="126" t="s">
        <v>0</v>
      </c>
      <c r="AD2" s="126" t="s">
        <v>0</v>
      </c>
      <c r="AE2" s="126" t="s">
        <v>0</v>
      </c>
      <c r="AF2" s="126" t="s">
        <v>177</v>
      </c>
      <c r="AG2" s="126" t="s">
        <v>138</v>
      </c>
      <c r="AI2" s="211"/>
      <c r="AJ2" s="211"/>
      <c r="AK2" s="126" t="s">
        <v>54</v>
      </c>
      <c r="AL2" s="126" t="s">
        <v>144</v>
      </c>
      <c r="AM2" s="126" t="s">
        <v>54</v>
      </c>
      <c r="AN2" s="126" t="s">
        <v>144</v>
      </c>
      <c r="AO2" s="126" t="s">
        <v>54</v>
      </c>
      <c r="AP2" s="126" t="s">
        <v>144</v>
      </c>
      <c r="AQ2" s="126" t="s">
        <v>54</v>
      </c>
      <c r="AR2" s="126" t="s">
        <v>144</v>
      </c>
      <c r="AS2" s="126" t="s">
        <v>54</v>
      </c>
      <c r="AT2" s="126" t="s">
        <v>144</v>
      </c>
      <c r="AU2" s="126" t="s">
        <v>54</v>
      </c>
      <c r="AV2" s="126" t="s">
        <v>144</v>
      </c>
    </row>
    <row r="3" spans="1:48" ht="41.25" customHeight="1" thickBot="1" x14ac:dyDescent="0.3">
      <c r="A3" s="128" t="s">
        <v>1</v>
      </c>
      <c r="B3" s="129">
        <v>3910.97</v>
      </c>
      <c r="C3" s="3">
        <v>92.91</v>
      </c>
      <c r="D3" s="129">
        <v>6620.78</v>
      </c>
      <c r="E3" s="3">
        <v>92.91</v>
      </c>
      <c r="F3" s="129">
        <v>6223.58</v>
      </c>
      <c r="G3" s="3">
        <v>90.49</v>
      </c>
      <c r="H3" s="3">
        <v>473.32</v>
      </c>
      <c r="I3" s="3">
        <v>96.28</v>
      </c>
      <c r="J3" s="3">
        <v>491.22</v>
      </c>
      <c r="K3" s="3">
        <v>93.8</v>
      </c>
      <c r="L3" s="129">
        <v>4336.3100000000004</v>
      </c>
      <c r="M3" s="3">
        <v>93.21</v>
      </c>
      <c r="N3" s="129">
        <v>22056.18</v>
      </c>
      <c r="O3" s="3">
        <v>92.36</v>
      </c>
      <c r="Q3" s="130" t="s">
        <v>30</v>
      </c>
      <c r="R3" s="3">
        <v>4991</v>
      </c>
      <c r="S3" s="3">
        <v>2667</v>
      </c>
      <c r="T3" s="3">
        <v>3482</v>
      </c>
      <c r="U3" s="3">
        <v>2809</v>
      </c>
      <c r="V3" s="3">
        <v>2662</v>
      </c>
      <c r="W3" s="3">
        <v>3021</v>
      </c>
      <c r="Y3" s="130" t="s">
        <v>29</v>
      </c>
      <c r="Z3" s="3">
        <v>0.06</v>
      </c>
      <c r="AA3" s="3">
        <v>0.55000000000000004</v>
      </c>
      <c r="AB3" s="3">
        <v>0.97</v>
      </c>
      <c r="AC3" s="3">
        <v>1.53</v>
      </c>
      <c r="AD3" s="3">
        <v>1.71</v>
      </c>
      <c r="AE3" s="3">
        <v>0.99</v>
      </c>
      <c r="AF3" s="129">
        <v>1054751.1499999999</v>
      </c>
      <c r="AG3" s="129">
        <v>1481.97</v>
      </c>
      <c r="AI3" s="133" t="s">
        <v>55</v>
      </c>
      <c r="AJ3" s="210" t="s">
        <v>56</v>
      </c>
      <c r="AK3" s="204">
        <v>0</v>
      </c>
      <c r="AL3" s="204">
        <v>0.94</v>
      </c>
      <c r="AM3" s="204">
        <v>0.02</v>
      </c>
      <c r="AN3" s="204">
        <v>0.94</v>
      </c>
      <c r="AO3" s="204">
        <v>0.01</v>
      </c>
      <c r="AP3" s="204">
        <v>0.94</v>
      </c>
      <c r="AQ3" s="204">
        <v>0.01</v>
      </c>
      <c r="AR3" s="204">
        <v>0.94</v>
      </c>
      <c r="AS3" s="204" t="s">
        <v>139</v>
      </c>
      <c r="AT3" s="204" t="s">
        <v>139</v>
      </c>
      <c r="AU3" s="204">
        <v>0.01</v>
      </c>
      <c r="AV3" s="204">
        <v>0.94</v>
      </c>
    </row>
    <row r="4" spans="1:48" ht="27.75" customHeight="1" thickBot="1" x14ac:dyDescent="0.3">
      <c r="A4" s="130" t="s">
        <v>2</v>
      </c>
      <c r="B4" s="3">
        <v>30.55</v>
      </c>
      <c r="C4" s="3">
        <v>0.73</v>
      </c>
      <c r="D4" s="3">
        <v>64.91</v>
      </c>
      <c r="E4" s="3">
        <v>0.91</v>
      </c>
      <c r="F4" s="3">
        <v>67.92</v>
      </c>
      <c r="G4" s="3">
        <v>0.99</v>
      </c>
      <c r="H4" s="3">
        <v>4.1500000000000004</v>
      </c>
      <c r="I4" s="3">
        <v>0.84</v>
      </c>
      <c r="J4" s="3">
        <v>3.84</v>
      </c>
      <c r="K4" s="3">
        <v>0.73</v>
      </c>
      <c r="L4" s="3">
        <v>39.229999999999997</v>
      </c>
      <c r="M4" s="3">
        <v>0.84</v>
      </c>
      <c r="N4" s="3">
        <v>210.59</v>
      </c>
      <c r="O4" s="3">
        <v>0.88</v>
      </c>
      <c r="Q4" s="130" t="s">
        <v>31</v>
      </c>
      <c r="R4" s="3">
        <v>990</v>
      </c>
      <c r="S4" s="3">
        <v>929</v>
      </c>
      <c r="T4" s="3">
        <v>1103</v>
      </c>
      <c r="U4" s="3">
        <v>570</v>
      </c>
      <c r="V4" s="3">
        <v>677</v>
      </c>
      <c r="W4" s="3">
        <v>941</v>
      </c>
      <c r="Y4" s="130" t="s">
        <v>30</v>
      </c>
      <c r="Z4" s="3">
        <v>0.26</v>
      </c>
      <c r="AA4" s="3">
        <v>2.76</v>
      </c>
      <c r="AB4" s="3">
        <v>4.58</v>
      </c>
      <c r="AC4" s="3">
        <v>6.51</v>
      </c>
      <c r="AD4" s="3">
        <v>8.09</v>
      </c>
      <c r="AE4" s="3">
        <v>4.55</v>
      </c>
      <c r="AF4" s="129">
        <v>4868470.3499999996</v>
      </c>
      <c r="AG4" s="129">
        <v>6840.43</v>
      </c>
      <c r="AI4" s="134" t="s">
        <v>167</v>
      </c>
      <c r="AJ4" s="211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</row>
    <row r="5" spans="1:48" ht="15.75" thickBot="1" x14ac:dyDescent="0.3">
      <c r="A5" s="130" t="s">
        <v>3</v>
      </c>
      <c r="B5" s="3">
        <v>30.55</v>
      </c>
      <c r="C5" s="3">
        <v>0.73</v>
      </c>
      <c r="D5" s="3">
        <v>64.91</v>
      </c>
      <c r="E5" s="3">
        <v>0.91</v>
      </c>
      <c r="F5" s="3">
        <v>67.92</v>
      </c>
      <c r="G5" s="3">
        <v>0.99</v>
      </c>
      <c r="H5" s="3">
        <v>4.1500000000000004</v>
      </c>
      <c r="I5" s="3">
        <v>0.84</v>
      </c>
      <c r="J5" s="3">
        <v>3.84</v>
      </c>
      <c r="K5" s="3">
        <v>0.73</v>
      </c>
      <c r="L5" s="3">
        <v>39.229999999999997</v>
      </c>
      <c r="M5" s="3">
        <v>0.84</v>
      </c>
      <c r="N5" s="3">
        <v>210.59</v>
      </c>
      <c r="O5" s="3">
        <v>0.88</v>
      </c>
      <c r="Q5" s="130" t="s">
        <v>119</v>
      </c>
      <c r="R5" s="3">
        <v>11</v>
      </c>
      <c r="S5" s="3">
        <v>48</v>
      </c>
      <c r="T5" s="3">
        <v>7</v>
      </c>
      <c r="U5" s="3">
        <v>34</v>
      </c>
      <c r="V5" s="3">
        <v>19</v>
      </c>
      <c r="W5" s="3">
        <v>23</v>
      </c>
      <c r="Y5" s="130" t="s">
        <v>31</v>
      </c>
      <c r="Z5" s="3">
        <v>0.04</v>
      </c>
      <c r="AA5" s="3">
        <v>0.01</v>
      </c>
      <c r="AB5" s="3">
        <v>0.05</v>
      </c>
      <c r="AC5" s="3">
        <v>0.04</v>
      </c>
      <c r="AD5" s="3">
        <v>0.02</v>
      </c>
      <c r="AE5" s="3">
        <v>0.04</v>
      </c>
      <c r="AF5" s="129">
        <v>38899.589999999997</v>
      </c>
      <c r="AG5" s="3">
        <v>54.66</v>
      </c>
      <c r="AI5" s="130" t="s">
        <v>29</v>
      </c>
      <c r="AJ5" s="131" t="s">
        <v>56</v>
      </c>
      <c r="AK5" s="3">
        <v>0.06</v>
      </c>
      <c r="AL5" s="3">
        <v>4.32</v>
      </c>
      <c r="AM5" s="3">
        <v>0.55000000000000004</v>
      </c>
      <c r="AN5" s="3">
        <v>4.2699999999999996</v>
      </c>
      <c r="AO5" s="3">
        <v>0.97</v>
      </c>
      <c r="AP5" s="3">
        <v>4.29</v>
      </c>
      <c r="AQ5" s="3">
        <v>1.53</v>
      </c>
      <c r="AR5" s="3">
        <v>4.29</v>
      </c>
      <c r="AS5" s="3">
        <v>1.71</v>
      </c>
      <c r="AT5" s="3">
        <v>4.3099999999999996</v>
      </c>
      <c r="AU5" s="3">
        <v>0.99</v>
      </c>
      <c r="AV5" s="3">
        <v>4.29</v>
      </c>
    </row>
    <row r="6" spans="1:48" ht="41.25" thickBot="1" x14ac:dyDescent="0.3">
      <c r="A6" s="130" t="s">
        <v>168</v>
      </c>
      <c r="B6" s="3" t="s">
        <v>139</v>
      </c>
      <c r="C6" s="3" t="s">
        <v>139</v>
      </c>
      <c r="D6" s="3" t="s">
        <v>139</v>
      </c>
      <c r="E6" s="3" t="s">
        <v>139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3" t="s">
        <v>139</v>
      </c>
      <c r="L6" s="3" t="s">
        <v>139</v>
      </c>
      <c r="M6" s="3" t="s">
        <v>139</v>
      </c>
      <c r="N6" s="3" t="s">
        <v>139</v>
      </c>
      <c r="O6" s="3" t="s">
        <v>139</v>
      </c>
      <c r="Q6" s="130" t="s">
        <v>32</v>
      </c>
      <c r="R6" s="3">
        <v>1049</v>
      </c>
      <c r="S6" s="3">
        <v>934</v>
      </c>
      <c r="T6" s="3">
        <v>560</v>
      </c>
      <c r="U6" s="3">
        <v>822</v>
      </c>
      <c r="V6" s="3">
        <v>824</v>
      </c>
      <c r="W6" s="3">
        <v>756</v>
      </c>
      <c r="Y6" s="130" t="s">
        <v>119</v>
      </c>
      <c r="Z6" s="3">
        <v>0.12</v>
      </c>
      <c r="AA6" s="3">
        <v>0.37</v>
      </c>
      <c r="AB6" s="3">
        <v>0.09</v>
      </c>
      <c r="AC6" s="3">
        <v>0.5</v>
      </c>
      <c r="AD6" s="3">
        <v>2.3199999999999998</v>
      </c>
      <c r="AE6" s="3">
        <v>0.56000000000000005</v>
      </c>
      <c r="AF6" s="129">
        <v>601729.05000000005</v>
      </c>
      <c r="AG6" s="3">
        <v>845.46</v>
      </c>
      <c r="AI6" s="130" t="s">
        <v>41</v>
      </c>
      <c r="AJ6" s="131" t="s">
        <v>56</v>
      </c>
      <c r="AK6" s="3">
        <v>0</v>
      </c>
      <c r="AL6" s="3">
        <v>6.22</v>
      </c>
      <c r="AM6" s="3">
        <v>0</v>
      </c>
      <c r="AN6" s="3">
        <v>6.22</v>
      </c>
      <c r="AO6" s="3">
        <v>0</v>
      </c>
      <c r="AP6" s="3">
        <v>6.22</v>
      </c>
      <c r="AQ6" s="3">
        <v>0</v>
      </c>
      <c r="AR6" s="3">
        <v>6.22</v>
      </c>
      <c r="AS6" s="3">
        <v>0.02</v>
      </c>
      <c r="AT6" s="3">
        <v>6.82</v>
      </c>
      <c r="AU6" s="3">
        <v>0</v>
      </c>
      <c r="AV6" s="3">
        <v>6.61</v>
      </c>
    </row>
    <row r="7" spans="1:48" ht="41.25" thickBot="1" x14ac:dyDescent="0.3">
      <c r="A7" s="130" t="s">
        <v>4</v>
      </c>
      <c r="B7" s="129">
        <v>3874.17</v>
      </c>
      <c r="C7" s="3">
        <v>92.04</v>
      </c>
      <c r="D7" s="129">
        <v>6576.7</v>
      </c>
      <c r="E7" s="3">
        <v>92.29</v>
      </c>
      <c r="F7" s="129">
        <v>6143.64</v>
      </c>
      <c r="G7" s="3">
        <v>89.32</v>
      </c>
      <c r="H7" s="3">
        <v>468.81</v>
      </c>
      <c r="I7" s="3">
        <v>95.36</v>
      </c>
      <c r="J7" s="3">
        <v>487.18</v>
      </c>
      <c r="K7" s="3">
        <v>93.03</v>
      </c>
      <c r="L7" s="129">
        <v>4302.88</v>
      </c>
      <c r="M7" s="3">
        <v>92.49</v>
      </c>
      <c r="N7" s="129">
        <v>21853.37</v>
      </c>
      <c r="O7" s="3">
        <v>91.51</v>
      </c>
      <c r="Q7" s="130" t="s">
        <v>33</v>
      </c>
      <c r="R7" s="3">
        <v>2990</v>
      </c>
      <c r="S7" s="3">
        <v>2239</v>
      </c>
      <c r="T7" s="3">
        <v>3092</v>
      </c>
      <c r="U7" s="3">
        <v>2426</v>
      </c>
      <c r="V7" s="3">
        <v>2024</v>
      </c>
      <c r="W7" s="3">
        <v>2516</v>
      </c>
      <c r="Y7" s="130" t="s">
        <v>32</v>
      </c>
      <c r="Z7" s="3">
        <v>0</v>
      </c>
      <c r="AA7" s="3">
        <v>0.01</v>
      </c>
      <c r="AB7" s="3">
        <v>0.01</v>
      </c>
      <c r="AC7" s="3">
        <v>0.01</v>
      </c>
      <c r="AD7" s="3">
        <v>0</v>
      </c>
      <c r="AE7" s="3">
        <v>0.01</v>
      </c>
      <c r="AF7" s="129">
        <v>6866.6</v>
      </c>
      <c r="AG7" s="3">
        <v>9.65</v>
      </c>
      <c r="AI7" s="130" t="s">
        <v>41</v>
      </c>
      <c r="AJ7" s="131" t="s">
        <v>58</v>
      </c>
      <c r="AK7" s="3">
        <v>0.02</v>
      </c>
      <c r="AL7" s="3">
        <v>3.83</v>
      </c>
      <c r="AM7" s="3">
        <v>0.02</v>
      </c>
      <c r="AN7" s="3">
        <v>3.92</v>
      </c>
      <c r="AO7" s="3">
        <v>0.04</v>
      </c>
      <c r="AP7" s="3">
        <v>4.34</v>
      </c>
      <c r="AQ7" s="3">
        <v>0.03</v>
      </c>
      <c r="AR7" s="3">
        <v>4.07</v>
      </c>
      <c r="AS7" s="3">
        <v>0.02</v>
      </c>
      <c r="AT7" s="3">
        <v>3.4</v>
      </c>
      <c r="AU7" s="3">
        <v>0.03</v>
      </c>
      <c r="AV7" s="3">
        <v>4.08</v>
      </c>
    </row>
    <row r="8" spans="1:48" ht="41.25" customHeight="1" thickBot="1" x14ac:dyDescent="0.3">
      <c r="A8" s="130" t="s">
        <v>5</v>
      </c>
      <c r="B8" s="3">
        <v>476.95</v>
      </c>
      <c r="C8" s="3">
        <v>11.33</v>
      </c>
      <c r="D8" s="129">
        <v>1181</v>
      </c>
      <c r="E8" s="3">
        <v>16.57</v>
      </c>
      <c r="F8" s="3">
        <v>582.82000000000005</v>
      </c>
      <c r="G8" s="3">
        <v>8.4700000000000006</v>
      </c>
      <c r="H8" s="3">
        <v>127.13</v>
      </c>
      <c r="I8" s="3">
        <v>25.86</v>
      </c>
      <c r="J8" s="3">
        <v>69.8</v>
      </c>
      <c r="K8" s="3">
        <v>13.33</v>
      </c>
      <c r="L8" s="3">
        <v>462.32</v>
      </c>
      <c r="M8" s="3">
        <v>9.94</v>
      </c>
      <c r="N8" s="129">
        <v>2900.01</v>
      </c>
      <c r="O8" s="3">
        <v>12.14</v>
      </c>
      <c r="Q8" s="130" t="s">
        <v>126</v>
      </c>
      <c r="R8" s="3" t="s">
        <v>139</v>
      </c>
      <c r="S8" s="3" t="s">
        <v>139</v>
      </c>
      <c r="T8" s="3">
        <v>3091</v>
      </c>
      <c r="U8" s="3">
        <v>3105</v>
      </c>
      <c r="V8" s="3">
        <v>3121</v>
      </c>
      <c r="W8" s="3">
        <v>3102</v>
      </c>
      <c r="Y8" s="130" t="s">
        <v>33</v>
      </c>
      <c r="Z8" s="3">
        <v>0.48</v>
      </c>
      <c r="AA8" s="3">
        <v>3.7</v>
      </c>
      <c r="AB8" s="3">
        <v>5.7</v>
      </c>
      <c r="AC8" s="3">
        <v>8.58</v>
      </c>
      <c r="AD8" s="3">
        <v>12.14</v>
      </c>
      <c r="AE8" s="3">
        <v>6.14</v>
      </c>
      <c r="AF8" s="129">
        <v>6570716.7400000002</v>
      </c>
      <c r="AG8" s="129">
        <v>9232.17</v>
      </c>
      <c r="AI8" s="130" t="s">
        <v>30</v>
      </c>
      <c r="AJ8" s="131" t="s">
        <v>58</v>
      </c>
      <c r="AK8" s="3">
        <v>0.26</v>
      </c>
      <c r="AL8" s="3">
        <v>1.67</v>
      </c>
      <c r="AM8" s="3">
        <v>2.76</v>
      </c>
      <c r="AN8" s="3">
        <v>1.31</v>
      </c>
      <c r="AO8" s="3">
        <v>4.58</v>
      </c>
      <c r="AP8" s="3">
        <v>1.45</v>
      </c>
      <c r="AQ8" s="3">
        <v>6.51</v>
      </c>
      <c r="AR8" s="3">
        <v>1.35</v>
      </c>
      <c r="AS8" s="3">
        <v>8.09</v>
      </c>
      <c r="AT8" s="3">
        <v>1.36</v>
      </c>
      <c r="AU8" s="3">
        <v>4.55</v>
      </c>
      <c r="AV8" s="3">
        <v>1.39</v>
      </c>
    </row>
    <row r="9" spans="1:48" ht="27.75" thickBot="1" x14ac:dyDescent="0.3">
      <c r="A9" s="130" t="s">
        <v>6</v>
      </c>
      <c r="B9" s="129">
        <v>1152.6199999999999</v>
      </c>
      <c r="C9" s="3">
        <v>27.38</v>
      </c>
      <c r="D9" s="129">
        <v>1922.83</v>
      </c>
      <c r="E9" s="3">
        <v>26.98</v>
      </c>
      <c r="F9" s="129">
        <v>1569.39</v>
      </c>
      <c r="G9" s="3">
        <v>22.82</v>
      </c>
      <c r="H9" s="3">
        <v>128.12</v>
      </c>
      <c r="I9" s="3">
        <v>26.06</v>
      </c>
      <c r="J9" s="3">
        <v>184.68</v>
      </c>
      <c r="K9" s="3">
        <v>35.270000000000003</v>
      </c>
      <c r="L9" s="129">
        <v>2056.1799999999998</v>
      </c>
      <c r="M9" s="3">
        <v>44.2</v>
      </c>
      <c r="N9" s="129">
        <v>7013.83</v>
      </c>
      <c r="O9" s="3">
        <v>29.37</v>
      </c>
      <c r="Q9" s="130" t="s">
        <v>34</v>
      </c>
      <c r="R9" s="3">
        <v>2947</v>
      </c>
      <c r="S9" s="3">
        <v>3313</v>
      </c>
      <c r="T9" s="3">
        <v>3837</v>
      </c>
      <c r="U9" s="3">
        <v>3644</v>
      </c>
      <c r="V9" s="3">
        <v>3566</v>
      </c>
      <c r="W9" s="3">
        <v>3652</v>
      </c>
      <c r="Y9" s="130" t="s">
        <v>126</v>
      </c>
      <c r="Z9" s="3" t="s">
        <v>139</v>
      </c>
      <c r="AA9" s="3" t="s">
        <v>139</v>
      </c>
      <c r="AB9" s="3">
        <v>0.12</v>
      </c>
      <c r="AC9" s="3">
        <v>0.12</v>
      </c>
      <c r="AD9" s="3">
        <v>0.13</v>
      </c>
      <c r="AE9" s="3">
        <v>0.09</v>
      </c>
      <c r="AF9" s="129">
        <v>92535.08</v>
      </c>
      <c r="AG9" s="3">
        <v>130.02000000000001</v>
      </c>
      <c r="AI9" s="130" t="s">
        <v>126</v>
      </c>
      <c r="AJ9" s="131" t="s">
        <v>166</v>
      </c>
      <c r="AK9" s="3" t="s">
        <v>139</v>
      </c>
      <c r="AL9" s="3" t="s">
        <v>139</v>
      </c>
      <c r="AM9" s="3" t="s">
        <v>139</v>
      </c>
      <c r="AN9" s="3" t="s">
        <v>139</v>
      </c>
      <c r="AO9" s="3">
        <v>0.04</v>
      </c>
      <c r="AP9" s="3">
        <v>1.77</v>
      </c>
      <c r="AQ9" s="3">
        <v>0.04</v>
      </c>
      <c r="AR9" s="3">
        <v>1.77</v>
      </c>
      <c r="AS9" s="3">
        <v>0.04</v>
      </c>
      <c r="AT9" s="3">
        <v>1.77</v>
      </c>
      <c r="AU9" s="3">
        <v>0.03</v>
      </c>
      <c r="AV9" s="3">
        <v>1.77</v>
      </c>
    </row>
    <row r="10" spans="1:48" ht="41.25" thickBot="1" x14ac:dyDescent="0.3">
      <c r="A10" s="130" t="s">
        <v>7</v>
      </c>
      <c r="B10" s="3">
        <v>2.15</v>
      </c>
      <c r="C10" s="3">
        <v>0.05</v>
      </c>
      <c r="D10" s="3">
        <v>31.1</v>
      </c>
      <c r="E10" s="3">
        <v>0.44</v>
      </c>
      <c r="F10" s="3" t="s">
        <v>139</v>
      </c>
      <c r="G10" s="3" t="s">
        <v>139</v>
      </c>
      <c r="H10" s="3">
        <v>24.65</v>
      </c>
      <c r="I10" s="3">
        <v>5.01</v>
      </c>
      <c r="J10" s="3">
        <v>1.24</v>
      </c>
      <c r="K10" s="3">
        <v>0.24</v>
      </c>
      <c r="L10" s="3">
        <v>1.97</v>
      </c>
      <c r="M10" s="3">
        <v>0.04</v>
      </c>
      <c r="N10" s="3">
        <v>61.12</v>
      </c>
      <c r="O10" s="3">
        <v>0.26</v>
      </c>
      <c r="Q10" s="130" t="s">
        <v>35</v>
      </c>
      <c r="R10" s="3">
        <v>5309</v>
      </c>
      <c r="S10" s="3">
        <v>4060</v>
      </c>
      <c r="T10" s="3">
        <v>4422</v>
      </c>
      <c r="U10" s="3">
        <v>4001</v>
      </c>
      <c r="V10" s="3">
        <v>3702</v>
      </c>
      <c r="W10" s="3">
        <v>4097</v>
      </c>
      <c r="Y10" s="130" t="s">
        <v>34</v>
      </c>
      <c r="Z10" s="3">
        <v>0.22</v>
      </c>
      <c r="AA10" s="3">
        <v>2.76</v>
      </c>
      <c r="AB10" s="3">
        <v>4.25</v>
      </c>
      <c r="AC10" s="3">
        <v>6.81</v>
      </c>
      <c r="AD10" s="3">
        <v>7.94</v>
      </c>
      <c r="AE10" s="3">
        <v>4.45</v>
      </c>
      <c r="AF10" s="129">
        <v>4764244.0599999996</v>
      </c>
      <c r="AG10" s="129">
        <v>6693.99</v>
      </c>
      <c r="AI10" s="130" t="s">
        <v>126</v>
      </c>
      <c r="AJ10" s="131" t="s">
        <v>56</v>
      </c>
      <c r="AK10" s="3" t="s">
        <v>139</v>
      </c>
      <c r="AL10" s="3" t="s">
        <v>139</v>
      </c>
      <c r="AM10" s="3" t="s">
        <v>139</v>
      </c>
      <c r="AN10" s="3" t="s">
        <v>139</v>
      </c>
      <c r="AO10" s="3">
        <v>0.01</v>
      </c>
      <c r="AP10" s="3">
        <v>5.12</v>
      </c>
      <c r="AQ10" s="3" t="s">
        <v>139</v>
      </c>
      <c r="AR10" s="3" t="s">
        <v>139</v>
      </c>
      <c r="AS10" s="3">
        <v>0</v>
      </c>
      <c r="AT10" s="3">
        <v>5.12</v>
      </c>
      <c r="AU10" s="3">
        <v>0</v>
      </c>
      <c r="AV10" s="3">
        <v>5.12</v>
      </c>
    </row>
    <row r="11" spans="1:48" ht="54.75" customHeight="1" thickBot="1" x14ac:dyDescent="0.3">
      <c r="A11" s="130" t="s">
        <v>106</v>
      </c>
      <c r="B11" s="3">
        <v>415.43</v>
      </c>
      <c r="C11" s="3">
        <v>9.8699999999999992</v>
      </c>
      <c r="D11" s="3">
        <v>622.54</v>
      </c>
      <c r="E11" s="3">
        <v>8.74</v>
      </c>
      <c r="F11" s="3">
        <v>695.72</v>
      </c>
      <c r="G11" s="3">
        <v>10.119999999999999</v>
      </c>
      <c r="H11" s="3">
        <v>70.709999999999994</v>
      </c>
      <c r="I11" s="3">
        <v>14.38</v>
      </c>
      <c r="J11" s="3">
        <v>35.89</v>
      </c>
      <c r="K11" s="3">
        <v>6.85</v>
      </c>
      <c r="L11" s="3">
        <v>406.35</v>
      </c>
      <c r="M11" s="3">
        <v>8.73</v>
      </c>
      <c r="N11" s="129">
        <v>2246.63</v>
      </c>
      <c r="O11" s="3">
        <v>9.41</v>
      </c>
      <c r="Q11" s="130" t="s">
        <v>36</v>
      </c>
      <c r="R11" s="3">
        <v>4794</v>
      </c>
      <c r="S11" s="3">
        <v>3849</v>
      </c>
      <c r="T11" s="3">
        <v>4270</v>
      </c>
      <c r="U11" s="3">
        <v>3906</v>
      </c>
      <c r="V11" s="3">
        <v>3663</v>
      </c>
      <c r="W11" s="3">
        <v>3978</v>
      </c>
      <c r="Y11" s="130" t="s">
        <v>35</v>
      </c>
      <c r="Z11" s="3">
        <v>0.78</v>
      </c>
      <c r="AA11" s="3">
        <v>7</v>
      </c>
      <c r="AB11" s="3">
        <v>13.05</v>
      </c>
      <c r="AC11" s="3">
        <v>19.920000000000002</v>
      </c>
      <c r="AD11" s="3">
        <v>21.3</v>
      </c>
      <c r="AE11" s="3">
        <v>12.8</v>
      </c>
      <c r="AF11" s="129">
        <v>13694438.75</v>
      </c>
      <c r="AG11" s="129">
        <v>19241.330000000002</v>
      </c>
      <c r="AI11" s="130" t="s">
        <v>126</v>
      </c>
      <c r="AJ11" s="131" t="s">
        <v>57</v>
      </c>
      <c r="AK11" s="3" t="s">
        <v>139</v>
      </c>
      <c r="AL11" s="3" t="s">
        <v>139</v>
      </c>
      <c r="AM11" s="3" t="s">
        <v>139</v>
      </c>
      <c r="AN11" s="3" t="s">
        <v>139</v>
      </c>
      <c r="AO11" s="3">
        <v>7.0000000000000007E-2</v>
      </c>
      <c r="AP11" s="3">
        <v>3.32</v>
      </c>
      <c r="AQ11" s="3">
        <v>0.09</v>
      </c>
      <c r="AR11" s="3">
        <v>3.25</v>
      </c>
      <c r="AS11" s="3">
        <v>0.09</v>
      </c>
      <c r="AT11" s="3">
        <v>3.27</v>
      </c>
      <c r="AU11" s="3">
        <v>0.06</v>
      </c>
      <c r="AV11" s="3">
        <v>3.29</v>
      </c>
    </row>
    <row r="12" spans="1:48" ht="27.75" customHeight="1" thickBot="1" x14ac:dyDescent="0.3">
      <c r="A12" s="130" t="s">
        <v>8</v>
      </c>
      <c r="B12" s="3">
        <v>683.11</v>
      </c>
      <c r="C12" s="3">
        <v>16.23</v>
      </c>
      <c r="D12" s="129">
        <v>1183.9000000000001</v>
      </c>
      <c r="E12" s="3">
        <v>16.61</v>
      </c>
      <c r="F12" s="129">
        <v>1054.98</v>
      </c>
      <c r="G12" s="3">
        <v>15.34</v>
      </c>
      <c r="H12" s="3">
        <v>56.82</v>
      </c>
      <c r="I12" s="3">
        <v>11.56</v>
      </c>
      <c r="J12" s="3">
        <v>76.180000000000007</v>
      </c>
      <c r="K12" s="3">
        <v>14.55</v>
      </c>
      <c r="L12" s="3">
        <v>781.05</v>
      </c>
      <c r="M12" s="3">
        <v>16.79</v>
      </c>
      <c r="N12" s="129">
        <v>3836.04</v>
      </c>
      <c r="O12" s="3">
        <v>16.059999999999999</v>
      </c>
      <c r="Q12" s="130" t="s">
        <v>37</v>
      </c>
      <c r="R12" s="3">
        <v>648</v>
      </c>
      <c r="S12" s="3">
        <v>498</v>
      </c>
      <c r="T12" s="3">
        <v>456</v>
      </c>
      <c r="U12" s="3">
        <v>557</v>
      </c>
      <c r="V12" s="3">
        <v>857</v>
      </c>
      <c r="W12" s="3">
        <v>574</v>
      </c>
      <c r="Y12" s="130" t="s">
        <v>36</v>
      </c>
      <c r="Z12" s="3">
        <v>0.99</v>
      </c>
      <c r="AA12" s="3">
        <v>9.76</v>
      </c>
      <c r="AB12" s="3">
        <v>17.420000000000002</v>
      </c>
      <c r="AC12" s="3">
        <v>26.86</v>
      </c>
      <c r="AD12" s="3">
        <v>29.37</v>
      </c>
      <c r="AE12" s="3">
        <v>17.34</v>
      </c>
      <c r="AF12" s="129">
        <v>18551217.890000001</v>
      </c>
      <c r="AG12" s="129">
        <v>26065.33</v>
      </c>
      <c r="AI12" s="130" t="s">
        <v>44</v>
      </c>
      <c r="AJ12" s="131" t="s">
        <v>56</v>
      </c>
      <c r="AK12" s="3">
        <v>0</v>
      </c>
      <c r="AL12" s="3">
        <v>5.51</v>
      </c>
      <c r="AM12" s="3">
        <v>7.0000000000000007E-2</v>
      </c>
      <c r="AN12" s="3">
        <v>5.49</v>
      </c>
      <c r="AO12" s="3">
        <v>0.09</v>
      </c>
      <c r="AP12" s="3">
        <v>5.6</v>
      </c>
      <c r="AQ12" s="3">
        <v>0.08</v>
      </c>
      <c r="AR12" s="3">
        <v>5.56</v>
      </c>
      <c r="AS12" s="3">
        <v>0.13</v>
      </c>
      <c r="AT12" s="3">
        <v>5.62</v>
      </c>
      <c r="AU12" s="3">
        <v>0.08</v>
      </c>
      <c r="AV12" s="3">
        <v>5.58</v>
      </c>
    </row>
    <row r="13" spans="1:48" ht="27.75" thickBot="1" x14ac:dyDescent="0.3">
      <c r="A13" s="130" t="s">
        <v>9</v>
      </c>
      <c r="B13" s="3">
        <v>15.41</v>
      </c>
      <c r="C13" s="3">
        <v>0.37</v>
      </c>
      <c r="D13" s="3">
        <v>33.82</v>
      </c>
      <c r="E13" s="3">
        <v>0.47</v>
      </c>
      <c r="F13" s="3">
        <v>9.73</v>
      </c>
      <c r="G13" s="3">
        <v>0.14000000000000001</v>
      </c>
      <c r="H13" s="3">
        <v>16.579999999999998</v>
      </c>
      <c r="I13" s="3">
        <v>3.37</v>
      </c>
      <c r="J13" s="3">
        <v>1.17</v>
      </c>
      <c r="K13" s="3">
        <v>0.22</v>
      </c>
      <c r="L13" s="3">
        <v>32.56</v>
      </c>
      <c r="M13" s="3">
        <v>0.7</v>
      </c>
      <c r="N13" s="3">
        <v>109.27</v>
      </c>
      <c r="O13" s="3">
        <v>0.46</v>
      </c>
      <c r="Q13" s="130" t="s">
        <v>38</v>
      </c>
      <c r="R13" s="3">
        <v>1773</v>
      </c>
      <c r="S13" s="3">
        <v>1802</v>
      </c>
      <c r="T13" s="3">
        <v>2161</v>
      </c>
      <c r="U13" s="3">
        <v>2074</v>
      </c>
      <c r="V13" s="3">
        <v>2381</v>
      </c>
      <c r="W13" s="3">
        <v>2146</v>
      </c>
      <c r="Y13" s="130" t="s">
        <v>37</v>
      </c>
      <c r="Z13" s="3">
        <v>0.08</v>
      </c>
      <c r="AA13" s="3">
        <v>0.13</v>
      </c>
      <c r="AB13" s="3">
        <v>0.2</v>
      </c>
      <c r="AC13" s="3">
        <v>0.35</v>
      </c>
      <c r="AD13" s="3">
        <v>0.23</v>
      </c>
      <c r="AE13" s="3">
        <v>0.2</v>
      </c>
      <c r="AF13" s="129">
        <v>215017.75</v>
      </c>
      <c r="AG13" s="3">
        <v>302.11</v>
      </c>
      <c r="AI13" s="130" t="s">
        <v>44</v>
      </c>
      <c r="AJ13" s="131" t="s">
        <v>58</v>
      </c>
      <c r="AK13" s="3">
        <v>0.89</v>
      </c>
      <c r="AL13" s="3">
        <v>2.69</v>
      </c>
      <c r="AM13" s="3">
        <v>4.55</v>
      </c>
      <c r="AN13" s="3">
        <v>2.61</v>
      </c>
      <c r="AO13" s="3">
        <v>8.48</v>
      </c>
      <c r="AP13" s="3">
        <v>2.61</v>
      </c>
      <c r="AQ13" s="3">
        <v>10.52</v>
      </c>
      <c r="AR13" s="3">
        <v>2.58</v>
      </c>
      <c r="AS13" s="3">
        <v>12.82</v>
      </c>
      <c r="AT13" s="3">
        <v>2.66</v>
      </c>
      <c r="AU13" s="3">
        <v>7.8</v>
      </c>
      <c r="AV13" s="3">
        <v>2.62</v>
      </c>
    </row>
    <row r="14" spans="1:48" ht="27.75" thickBot="1" x14ac:dyDescent="0.3">
      <c r="A14" s="130" t="s">
        <v>10</v>
      </c>
      <c r="B14" s="129">
        <v>1117.1199999999999</v>
      </c>
      <c r="C14" s="3">
        <v>26.54</v>
      </c>
      <c r="D14" s="129">
        <v>1596.06</v>
      </c>
      <c r="E14" s="3">
        <v>22.4</v>
      </c>
      <c r="F14" s="129">
        <v>2214.09</v>
      </c>
      <c r="G14" s="3">
        <v>32.19</v>
      </c>
      <c r="H14" s="3">
        <v>44.55</v>
      </c>
      <c r="I14" s="3">
        <v>9.06</v>
      </c>
      <c r="J14" s="3">
        <v>117.53</v>
      </c>
      <c r="K14" s="3">
        <v>22.44</v>
      </c>
      <c r="L14" s="3">
        <v>559.66</v>
      </c>
      <c r="M14" s="3">
        <v>12.03</v>
      </c>
      <c r="N14" s="129">
        <v>5649.01</v>
      </c>
      <c r="O14" s="3">
        <v>23.65</v>
      </c>
      <c r="Q14" s="130" t="s">
        <v>39</v>
      </c>
      <c r="R14" s="3">
        <v>697</v>
      </c>
      <c r="S14" s="3">
        <v>541</v>
      </c>
      <c r="T14" s="3">
        <v>509</v>
      </c>
      <c r="U14" s="3">
        <v>745</v>
      </c>
      <c r="V14" s="3">
        <v>1018</v>
      </c>
      <c r="W14" s="3">
        <v>691</v>
      </c>
      <c r="Y14" s="130" t="s">
        <v>38</v>
      </c>
      <c r="Z14" s="3">
        <v>0</v>
      </c>
      <c r="AA14" s="3">
        <v>0</v>
      </c>
      <c r="AB14" s="3">
        <v>0.01</v>
      </c>
      <c r="AC14" s="3">
        <v>0.05</v>
      </c>
      <c r="AD14" s="3">
        <v>0.03</v>
      </c>
      <c r="AE14" s="3">
        <v>0.02</v>
      </c>
      <c r="AF14" s="129">
        <v>17406.509999999998</v>
      </c>
      <c r="AG14" s="3">
        <v>24.46</v>
      </c>
      <c r="AI14" s="130" t="s">
        <v>44</v>
      </c>
      <c r="AJ14" s="131" t="s">
        <v>57</v>
      </c>
      <c r="AK14" s="3" t="s">
        <v>139</v>
      </c>
      <c r="AL14" s="3" t="s">
        <v>139</v>
      </c>
      <c r="AM14" s="3">
        <v>0.02</v>
      </c>
      <c r="AN14" s="3">
        <v>2.27</v>
      </c>
      <c r="AO14" s="3">
        <v>0.26</v>
      </c>
      <c r="AP14" s="3">
        <v>3.23</v>
      </c>
      <c r="AQ14" s="3">
        <v>0.35</v>
      </c>
      <c r="AR14" s="3">
        <v>2.94</v>
      </c>
      <c r="AS14" s="3">
        <v>0.51</v>
      </c>
      <c r="AT14" s="3">
        <v>2.97</v>
      </c>
      <c r="AU14" s="3">
        <v>0.24</v>
      </c>
      <c r="AV14" s="3">
        <v>3.05</v>
      </c>
    </row>
    <row r="15" spans="1:48" ht="41.25" thickBot="1" x14ac:dyDescent="0.3">
      <c r="A15" s="130" t="s">
        <v>11</v>
      </c>
      <c r="B15" s="3" t="s">
        <v>139</v>
      </c>
      <c r="C15" s="3" t="s">
        <v>139</v>
      </c>
      <c r="D15" s="3">
        <v>2.96</v>
      </c>
      <c r="E15" s="3">
        <v>0.04</v>
      </c>
      <c r="F15" s="3">
        <v>0.87</v>
      </c>
      <c r="G15" s="3">
        <v>0.01</v>
      </c>
      <c r="H15" s="3" t="s">
        <v>139</v>
      </c>
      <c r="I15" s="3" t="s">
        <v>139</v>
      </c>
      <c r="J15" s="3">
        <v>0.15</v>
      </c>
      <c r="K15" s="3">
        <v>0.03</v>
      </c>
      <c r="L15" s="3">
        <v>2.68</v>
      </c>
      <c r="M15" s="3">
        <v>0.06</v>
      </c>
      <c r="N15" s="3">
        <v>6.66</v>
      </c>
      <c r="O15" s="3">
        <v>0.03</v>
      </c>
      <c r="Q15" s="128" t="s">
        <v>40</v>
      </c>
      <c r="R15" s="3">
        <v>4022</v>
      </c>
      <c r="S15" s="3">
        <v>3377</v>
      </c>
      <c r="T15" s="3">
        <v>3949</v>
      </c>
      <c r="U15" s="3">
        <v>3517</v>
      </c>
      <c r="V15" s="3">
        <v>3170</v>
      </c>
      <c r="W15" s="3">
        <v>3569</v>
      </c>
      <c r="Y15" s="130" t="s">
        <v>39</v>
      </c>
      <c r="Z15" s="3">
        <v>0.08</v>
      </c>
      <c r="AA15" s="3">
        <v>0.14000000000000001</v>
      </c>
      <c r="AB15" s="3">
        <v>0.21</v>
      </c>
      <c r="AC15" s="3">
        <v>0.4</v>
      </c>
      <c r="AD15" s="3">
        <v>0.26</v>
      </c>
      <c r="AE15" s="3">
        <v>0.22</v>
      </c>
      <c r="AF15" s="129">
        <v>232424.26</v>
      </c>
      <c r="AG15" s="3">
        <v>326.57</v>
      </c>
      <c r="AI15" s="130" t="s">
        <v>152</v>
      </c>
      <c r="AJ15" s="131" t="s">
        <v>58</v>
      </c>
      <c r="AK15" s="3">
        <v>0.03</v>
      </c>
      <c r="AL15" s="3">
        <v>2.42</v>
      </c>
      <c r="AM15" s="3">
        <v>0.03</v>
      </c>
      <c r="AN15" s="3">
        <v>2.42</v>
      </c>
      <c r="AO15" s="3">
        <v>0.14000000000000001</v>
      </c>
      <c r="AP15" s="3">
        <v>2.48</v>
      </c>
      <c r="AQ15" s="3">
        <v>0.08</v>
      </c>
      <c r="AR15" s="3">
        <v>2.4700000000000002</v>
      </c>
      <c r="AS15" s="3">
        <v>0.05</v>
      </c>
      <c r="AT15" s="3">
        <v>2.42</v>
      </c>
      <c r="AU15" s="3">
        <v>0.08</v>
      </c>
      <c r="AV15" s="3">
        <v>2.4700000000000002</v>
      </c>
    </row>
    <row r="16" spans="1:48" ht="27.75" customHeight="1" thickBot="1" x14ac:dyDescent="0.3">
      <c r="A16" s="130" t="s">
        <v>169</v>
      </c>
      <c r="B16" s="3">
        <v>11.37</v>
      </c>
      <c r="C16" s="3">
        <v>0.27</v>
      </c>
      <c r="D16" s="3">
        <v>2.4900000000000002</v>
      </c>
      <c r="E16" s="3">
        <v>0.03</v>
      </c>
      <c r="F16" s="3">
        <v>16.05</v>
      </c>
      <c r="G16" s="3">
        <v>0.23</v>
      </c>
      <c r="H16" s="3">
        <v>0.26</v>
      </c>
      <c r="I16" s="3">
        <v>0.05</v>
      </c>
      <c r="J16" s="3">
        <v>0.54</v>
      </c>
      <c r="K16" s="3">
        <v>0.1</v>
      </c>
      <c r="L16" s="3">
        <v>0.1</v>
      </c>
      <c r="M16" s="3">
        <v>0</v>
      </c>
      <c r="N16" s="3">
        <v>30.8</v>
      </c>
      <c r="O16" s="3">
        <v>0.13</v>
      </c>
      <c r="Q16" s="130" t="s">
        <v>167</v>
      </c>
      <c r="R16" s="3">
        <v>35765</v>
      </c>
      <c r="S16" s="3">
        <v>35765</v>
      </c>
      <c r="T16" s="3">
        <v>35765</v>
      </c>
      <c r="U16" s="3">
        <v>35765</v>
      </c>
      <c r="V16" s="3" t="s">
        <v>139</v>
      </c>
      <c r="W16" s="3">
        <v>35765</v>
      </c>
      <c r="Y16" s="128" t="s">
        <v>40</v>
      </c>
      <c r="Z16" s="3">
        <v>1.55</v>
      </c>
      <c r="AA16" s="3">
        <v>13.59</v>
      </c>
      <c r="AB16" s="3">
        <v>23.33</v>
      </c>
      <c r="AC16" s="3">
        <v>35.83</v>
      </c>
      <c r="AD16" s="3">
        <v>41.77</v>
      </c>
      <c r="AE16" s="3">
        <v>23.7</v>
      </c>
      <c r="AF16" s="129">
        <v>25354358.890000001</v>
      </c>
      <c r="AG16" s="129">
        <v>35624.06</v>
      </c>
      <c r="AI16" s="130" t="s">
        <v>37</v>
      </c>
      <c r="AJ16" s="131" t="s">
        <v>145</v>
      </c>
      <c r="AK16" s="3">
        <v>0.08</v>
      </c>
      <c r="AL16" s="3">
        <v>2.48</v>
      </c>
      <c r="AM16" s="3">
        <v>0.13</v>
      </c>
      <c r="AN16" s="3">
        <v>2.75</v>
      </c>
      <c r="AO16" s="3">
        <v>0.2</v>
      </c>
      <c r="AP16" s="3">
        <v>2.71</v>
      </c>
      <c r="AQ16" s="3">
        <v>0.35</v>
      </c>
      <c r="AR16" s="3">
        <v>2.4700000000000002</v>
      </c>
      <c r="AS16" s="3">
        <v>0.23</v>
      </c>
      <c r="AT16" s="3">
        <v>2.5499999999999998</v>
      </c>
      <c r="AU16" s="3">
        <v>0.2</v>
      </c>
      <c r="AV16" s="3">
        <v>2.6</v>
      </c>
    </row>
    <row r="17" spans="1:48" ht="27.75" customHeight="1" thickBot="1" x14ac:dyDescent="0.3">
      <c r="A17" s="130" t="s">
        <v>12</v>
      </c>
      <c r="B17" s="3">
        <v>5.69</v>
      </c>
      <c r="C17" s="3">
        <v>0.14000000000000001</v>
      </c>
      <c r="D17" s="3">
        <v>-21.42</v>
      </c>
      <c r="E17" s="3">
        <v>-0.3</v>
      </c>
      <c r="F17" s="3">
        <v>11.53</v>
      </c>
      <c r="G17" s="3">
        <v>0.17</v>
      </c>
      <c r="H17" s="3">
        <v>-0.01</v>
      </c>
      <c r="I17" s="3">
        <v>0</v>
      </c>
      <c r="J17" s="3">
        <v>0.11</v>
      </c>
      <c r="K17" s="3">
        <v>0.02</v>
      </c>
      <c r="L17" s="3">
        <v>-5.85</v>
      </c>
      <c r="M17" s="3">
        <v>-0.13</v>
      </c>
      <c r="N17" s="3">
        <v>-9.9499999999999993</v>
      </c>
      <c r="O17" s="3">
        <v>-0.04</v>
      </c>
      <c r="Q17" s="130" t="s">
        <v>41</v>
      </c>
      <c r="R17" s="3">
        <v>1432</v>
      </c>
      <c r="S17" s="3">
        <v>1187</v>
      </c>
      <c r="T17" s="3">
        <v>1212</v>
      </c>
      <c r="U17" s="3">
        <v>1316</v>
      </c>
      <c r="V17" s="3">
        <v>1201</v>
      </c>
      <c r="W17" s="3">
        <v>1245</v>
      </c>
      <c r="Y17" s="130" t="s">
        <v>178</v>
      </c>
      <c r="Z17" s="3">
        <v>0.91</v>
      </c>
      <c r="AA17" s="3">
        <v>1.1399999999999999</v>
      </c>
      <c r="AB17" s="3">
        <v>0.69</v>
      </c>
      <c r="AC17" s="3">
        <v>0.39</v>
      </c>
      <c r="AD17" s="3">
        <v>0.24</v>
      </c>
      <c r="AE17" s="3">
        <v>0.67</v>
      </c>
      <c r="AF17" s="129">
        <v>717022.63</v>
      </c>
      <c r="AG17" s="129">
        <v>1007.45</v>
      </c>
      <c r="AI17" s="130" t="s">
        <v>45</v>
      </c>
      <c r="AJ17" s="131" t="s">
        <v>58</v>
      </c>
      <c r="AK17" s="3">
        <v>0.66</v>
      </c>
      <c r="AL17" s="3">
        <v>3.42</v>
      </c>
      <c r="AM17" s="3">
        <v>1.26</v>
      </c>
      <c r="AN17" s="3">
        <v>3.21</v>
      </c>
      <c r="AO17" s="3">
        <v>1.82</v>
      </c>
      <c r="AP17" s="3">
        <v>3.12</v>
      </c>
      <c r="AQ17" s="3">
        <v>1.76</v>
      </c>
      <c r="AR17" s="3">
        <v>3.12</v>
      </c>
      <c r="AS17" s="3">
        <v>2.54</v>
      </c>
      <c r="AT17" s="3">
        <v>3.24</v>
      </c>
      <c r="AU17" s="3">
        <v>1.67</v>
      </c>
      <c r="AV17" s="3">
        <v>3.18</v>
      </c>
    </row>
    <row r="18" spans="1:48" ht="41.25" customHeight="1" thickBot="1" x14ac:dyDescent="0.3">
      <c r="A18" s="130" t="s">
        <v>170</v>
      </c>
      <c r="B18" s="3">
        <v>0.56000000000000005</v>
      </c>
      <c r="C18" s="3">
        <v>0.01</v>
      </c>
      <c r="D18" s="3">
        <v>0.6</v>
      </c>
      <c r="E18" s="3">
        <v>0.01</v>
      </c>
      <c r="F18" s="3">
        <v>0.49</v>
      </c>
      <c r="G18" s="3">
        <v>0.01</v>
      </c>
      <c r="H18" s="3">
        <v>0.36</v>
      </c>
      <c r="I18" s="3">
        <v>7.0000000000000007E-2</v>
      </c>
      <c r="J18" s="3">
        <v>0.09</v>
      </c>
      <c r="K18" s="3">
        <v>0.02</v>
      </c>
      <c r="L18" s="3">
        <v>0.05</v>
      </c>
      <c r="M18" s="3">
        <v>0</v>
      </c>
      <c r="N18" s="3">
        <v>2.16</v>
      </c>
      <c r="O18" s="3">
        <v>0.01</v>
      </c>
      <c r="Q18" s="130" t="s">
        <v>42</v>
      </c>
      <c r="R18" s="3">
        <v>3351</v>
      </c>
      <c r="S18" s="3">
        <v>3135</v>
      </c>
      <c r="T18" s="3">
        <v>3048</v>
      </c>
      <c r="U18" s="3">
        <v>3096</v>
      </c>
      <c r="V18" s="3">
        <v>3405</v>
      </c>
      <c r="W18" s="3">
        <v>3153</v>
      </c>
      <c r="Y18" s="130" t="s">
        <v>44</v>
      </c>
      <c r="Z18" s="3">
        <v>0.89</v>
      </c>
      <c r="AA18" s="3">
        <v>4.6399999999999997</v>
      </c>
      <c r="AB18" s="3">
        <v>8.82</v>
      </c>
      <c r="AC18" s="3">
        <v>10.96</v>
      </c>
      <c r="AD18" s="3">
        <v>13.46</v>
      </c>
      <c r="AE18" s="3">
        <v>8.1199999999999992</v>
      </c>
      <c r="AF18" s="129">
        <v>8682281.3399999999</v>
      </c>
      <c r="AG18" s="129">
        <v>12199.01</v>
      </c>
      <c r="AI18" s="130" t="s">
        <v>34</v>
      </c>
      <c r="AJ18" s="131" t="s">
        <v>56</v>
      </c>
      <c r="AK18" s="3">
        <v>0.22</v>
      </c>
      <c r="AL18" s="3">
        <v>4.53</v>
      </c>
      <c r="AM18" s="3">
        <v>2.76</v>
      </c>
      <c r="AN18" s="3">
        <v>4.6100000000000003</v>
      </c>
      <c r="AO18" s="3">
        <v>4.25</v>
      </c>
      <c r="AP18" s="3">
        <v>4.7</v>
      </c>
      <c r="AQ18" s="3">
        <v>6.81</v>
      </c>
      <c r="AR18" s="3">
        <v>4.66</v>
      </c>
      <c r="AS18" s="3">
        <v>7.94</v>
      </c>
      <c r="AT18" s="3">
        <v>4.6500000000000004</v>
      </c>
      <c r="AU18" s="3">
        <v>4.45</v>
      </c>
      <c r="AV18" s="3">
        <v>4.66</v>
      </c>
    </row>
    <row r="19" spans="1:48" ht="41.25" thickBot="1" x14ac:dyDescent="0.3">
      <c r="A19" s="128" t="s">
        <v>13</v>
      </c>
      <c r="B19" s="3">
        <v>298.45</v>
      </c>
      <c r="C19" s="3">
        <v>7.09</v>
      </c>
      <c r="D19" s="3">
        <v>505.53</v>
      </c>
      <c r="E19" s="3">
        <v>7.09</v>
      </c>
      <c r="F19" s="3">
        <v>654.36</v>
      </c>
      <c r="G19" s="3">
        <v>9.51</v>
      </c>
      <c r="H19" s="3">
        <v>18.29</v>
      </c>
      <c r="I19" s="3">
        <v>3.72</v>
      </c>
      <c r="J19" s="3">
        <v>32.46</v>
      </c>
      <c r="K19" s="3">
        <v>6.2</v>
      </c>
      <c r="L19" s="3">
        <v>315.70999999999998</v>
      </c>
      <c r="M19" s="3">
        <v>6.79</v>
      </c>
      <c r="N19" s="129">
        <v>1824.8</v>
      </c>
      <c r="O19" s="3">
        <v>7.64</v>
      </c>
      <c r="Q19" s="128" t="s">
        <v>43</v>
      </c>
      <c r="R19" s="3">
        <v>3314</v>
      </c>
      <c r="S19" s="3">
        <v>3257</v>
      </c>
      <c r="T19" s="3">
        <v>3066</v>
      </c>
      <c r="U19" s="3">
        <v>3111</v>
      </c>
      <c r="V19" s="3">
        <v>3396</v>
      </c>
      <c r="W19" s="3">
        <v>3173</v>
      </c>
      <c r="Y19" s="130" t="s">
        <v>152</v>
      </c>
      <c r="Z19" s="3">
        <v>0.03</v>
      </c>
      <c r="AA19" s="3">
        <v>0.03</v>
      </c>
      <c r="AB19" s="3">
        <v>0.14000000000000001</v>
      </c>
      <c r="AC19" s="3">
        <v>0.08</v>
      </c>
      <c r="AD19" s="3">
        <v>0.05</v>
      </c>
      <c r="AE19" s="3">
        <v>0.08</v>
      </c>
      <c r="AF19" s="129">
        <v>90758.080000000002</v>
      </c>
      <c r="AG19" s="3">
        <v>127.52</v>
      </c>
      <c r="AI19" s="130" t="s">
        <v>35</v>
      </c>
      <c r="AJ19" s="131" t="s">
        <v>58</v>
      </c>
      <c r="AK19" s="3">
        <v>0.78</v>
      </c>
      <c r="AL19" s="3">
        <v>1.71</v>
      </c>
      <c r="AM19" s="3">
        <v>7</v>
      </c>
      <c r="AN19" s="3">
        <v>1.59</v>
      </c>
      <c r="AO19" s="3">
        <v>13.05</v>
      </c>
      <c r="AP19" s="3">
        <v>1.63</v>
      </c>
      <c r="AQ19" s="3">
        <v>19.920000000000002</v>
      </c>
      <c r="AR19" s="3">
        <v>1.57</v>
      </c>
      <c r="AS19" s="3">
        <v>21.3</v>
      </c>
      <c r="AT19" s="3">
        <v>1.55</v>
      </c>
      <c r="AU19" s="3">
        <v>12.8</v>
      </c>
      <c r="AV19" s="3">
        <v>1.59</v>
      </c>
    </row>
    <row r="20" spans="1:48" ht="27.75" customHeight="1" thickBot="1" x14ac:dyDescent="0.3">
      <c r="A20" s="130" t="s">
        <v>2</v>
      </c>
      <c r="B20" s="3">
        <v>155.36000000000001</v>
      </c>
      <c r="C20" s="3">
        <v>3.69</v>
      </c>
      <c r="D20" s="3">
        <v>271.45999999999998</v>
      </c>
      <c r="E20" s="3">
        <v>3.81</v>
      </c>
      <c r="F20" s="3">
        <v>221.94</v>
      </c>
      <c r="G20" s="3">
        <v>3.23</v>
      </c>
      <c r="H20" s="3">
        <v>18.170000000000002</v>
      </c>
      <c r="I20" s="3">
        <v>3.7</v>
      </c>
      <c r="J20" s="3">
        <v>17.670000000000002</v>
      </c>
      <c r="K20" s="3">
        <v>3.37</v>
      </c>
      <c r="L20" s="3">
        <v>178.02</v>
      </c>
      <c r="M20" s="3">
        <v>3.83</v>
      </c>
      <c r="N20" s="3">
        <v>862.61</v>
      </c>
      <c r="O20" s="3">
        <v>3.61</v>
      </c>
      <c r="Q20" s="130" t="s">
        <v>44</v>
      </c>
      <c r="R20" s="3">
        <v>2409</v>
      </c>
      <c r="S20" s="3">
        <v>2256</v>
      </c>
      <c r="T20" s="3">
        <v>2149</v>
      </c>
      <c r="U20" s="3">
        <v>2006</v>
      </c>
      <c r="V20" s="3">
        <v>2287</v>
      </c>
      <c r="W20" s="3">
        <v>2166</v>
      </c>
      <c r="Y20" s="130" t="s">
        <v>45</v>
      </c>
      <c r="Z20" s="3">
        <v>0.66</v>
      </c>
      <c r="AA20" s="3">
        <v>1.26</v>
      </c>
      <c r="AB20" s="3">
        <v>1.82</v>
      </c>
      <c r="AC20" s="3">
        <v>1.76</v>
      </c>
      <c r="AD20" s="3">
        <v>2.54</v>
      </c>
      <c r="AE20" s="3">
        <v>1.67</v>
      </c>
      <c r="AF20" s="129">
        <v>1785112.96</v>
      </c>
      <c r="AG20" s="129">
        <v>2508.17</v>
      </c>
      <c r="AI20" s="130" t="s">
        <v>38</v>
      </c>
      <c r="AJ20" s="131" t="s">
        <v>58</v>
      </c>
      <c r="AK20" s="3">
        <v>0</v>
      </c>
      <c r="AL20" s="3">
        <v>3.42</v>
      </c>
      <c r="AM20" s="3">
        <v>0</v>
      </c>
      <c r="AN20" s="3">
        <v>3.43</v>
      </c>
      <c r="AO20" s="3">
        <v>0.01</v>
      </c>
      <c r="AP20" s="3">
        <v>3.5</v>
      </c>
      <c r="AQ20" s="3">
        <v>0.05</v>
      </c>
      <c r="AR20" s="3">
        <v>3.48</v>
      </c>
      <c r="AS20" s="3">
        <v>0.03</v>
      </c>
      <c r="AT20" s="3">
        <v>3.49</v>
      </c>
      <c r="AU20" s="3">
        <v>0.02</v>
      </c>
      <c r="AV20" s="3">
        <v>3.48</v>
      </c>
    </row>
    <row r="21" spans="1:48" ht="27.75" customHeight="1" thickBot="1" x14ac:dyDescent="0.3">
      <c r="A21" s="130" t="s">
        <v>14</v>
      </c>
      <c r="B21" s="3" t="s">
        <v>139</v>
      </c>
      <c r="C21" s="3" t="s">
        <v>139</v>
      </c>
      <c r="D21" s="3" t="s">
        <v>139</v>
      </c>
      <c r="E21" s="3" t="s">
        <v>139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3" t="s">
        <v>139</v>
      </c>
      <c r="L21" s="3" t="s">
        <v>139</v>
      </c>
      <c r="M21" s="3" t="s">
        <v>139</v>
      </c>
      <c r="N21" s="3" t="s">
        <v>139</v>
      </c>
      <c r="O21" s="3" t="s">
        <v>139</v>
      </c>
      <c r="Q21" s="130" t="s">
        <v>152</v>
      </c>
      <c r="R21" s="3">
        <v>2232</v>
      </c>
      <c r="S21" s="3">
        <v>2232</v>
      </c>
      <c r="T21" s="3">
        <v>2510</v>
      </c>
      <c r="U21" s="3">
        <v>2445</v>
      </c>
      <c r="V21" s="3">
        <v>2232</v>
      </c>
      <c r="W21" s="3">
        <v>2439</v>
      </c>
      <c r="Y21" s="130" t="s">
        <v>46</v>
      </c>
      <c r="Z21" s="3">
        <v>1.71</v>
      </c>
      <c r="AA21" s="3">
        <v>3.91</v>
      </c>
      <c r="AB21" s="3">
        <v>3.42</v>
      </c>
      <c r="AC21" s="3">
        <v>11.63</v>
      </c>
      <c r="AD21" s="3">
        <v>23.65</v>
      </c>
      <c r="AE21" s="3">
        <v>7.87</v>
      </c>
      <c r="AF21" s="129">
        <v>8416352.2599999998</v>
      </c>
      <c r="AG21" s="129">
        <v>11825.37</v>
      </c>
      <c r="AI21" s="130" t="s">
        <v>31</v>
      </c>
      <c r="AJ21" s="131" t="s">
        <v>58</v>
      </c>
      <c r="AK21" s="3">
        <v>0.04</v>
      </c>
      <c r="AL21" s="3">
        <v>1.33</v>
      </c>
      <c r="AM21" s="3">
        <v>0.01</v>
      </c>
      <c r="AN21" s="3">
        <v>1.23</v>
      </c>
      <c r="AO21" s="3">
        <v>0.05</v>
      </c>
      <c r="AP21" s="3">
        <v>1.37</v>
      </c>
      <c r="AQ21" s="3">
        <v>0.04</v>
      </c>
      <c r="AR21" s="3">
        <v>1.34</v>
      </c>
      <c r="AS21" s="3">
        <v>0.02</v>
      </c>
      <c r="AT21" s="3">
        <v>1.05</v>
      </c>
      <c r="AU21" s="3">
        <v>0.04</v>
      </c>
      <c r="AV21" s="3">
        <v>1.32</v>
      </c>
    </row>
    <row r="22" spans="1:48" ht="15.75" thickBot="1" x14ac:dyDescent="0.3">
      <c r="A22" s="130" t="s">
        <v>15</v>
      </c>
      <c r="B22" s="3">
        <v>155.36000000000001</v>
      </c>
      <c r="C22" s="3">
        <v>3.69</v>
      </c>
      <c r="D22" s="3">
        <v>271.45999999999998</v>
      </c>
      <c r="E22" s="3">
        <v>3.81</v>
      </c>
      <c r="F22" s="3">
        <v>221.94</v>
      </c>
      <c r="G22" s="3">
        <v>3.23</v>
      </c>
      <c r="H22" s="3">
        <v>18.170000000000002</v>
      </c>
      <c r="I22" s="3">
        <v>3.7</v>
      </c>
      <c r="J22" s="3">
        <v>17.670000000000002</v>
      </c>
      <c r="K22" s="3">
        <v>3.37</v>
      </c>
      <c r="L22" s="3">
        <v>178.02</v>
      </c>
      <c r="M22" s="3">
        <v>3.83</v>
      </c>
      <c r="N22" s="3">
        <v>862.61</v>
      </c>
      <c r="O22" s="3">
        <v>3.61</v>
      </c>
      <c r="Q22" s="130" t="s">
        <v>45</v>
      </c>
      <c r="R22" s="3">
        <v>4388</v>
      </c>
      <c r="S22" s="3">
        <v>4386</v>
      </c>
      <c r="T22" s="3">
        <v>3821</v>
      </c>
      <c r="U22" s="3">
        <v>3840</v>
      </c>
      <c r="V22" s="3">
        <v>4221</v>
      </c>
      <c r="W22" s="3">
        <v>4021</v>
      </c>
      <c r="Y22" s="130" t="s">
        <v>47</v>
      </c>
      <c r="Z22" s="3">
        <v>0.12</v>
      </c>
      <c r="AA22" s="3">
        <v>0.36</v>
      </c>
      <c r="AB22" s="3">
        <v>0.74</v>
      </c>
      <c r="AC22" s="3">
        <v>0.53</v>
      </c>
      <c r="AD22" s="3">
        <v>0.46</v>
      </c>
      <c r="AE22" s="3">
        <v>0.51</v>
      </c>
      <c r="AF22" s="129">
        <v>547935.02</v>
      </c>
      <c r="AG22" s="3">
        <v>769.87</v>
      </c>
      <c r="AI22" s="130" t="s">
        <v>42</v>
      </c>
      <c r="AJ22" s="131" t="s">
        <v>56</v>
      </c>
      <c r="AK22" s="3">
        <v>0</v>
      </c>
      <c r="AL22" s="3">
        <v>18.54</v>
      </c>
      <c r="AM22" s="3">
        <v>0.03</v>
      </c>
      <c r="AN22" s="3">
        <v>12.84</v>
      </c>
      <c r="AO22" s="3">
        <v>0.03</v>
      </c>
      <c r="AP22" s="3">
        <v>9.34</v>
      </c>
      <c r="AQ22" s="3">
        <v>0.13</v>
      </c>
      <c r="AR22" s="3">
        <v>6.23</v>
      </c>
      <c r="AS22" s="3">
        <v>0.12</v>
      </c>
      <c r="AT22" s="3">
        <v>7.06</v>
      </c>
      <c r="AU22" s="3">
        <v>0.06</v>
      </c>
      <c r="AV22" s="3">
        <v>7.74</v>
      </c>
    </row>
    <row r="23" spans="1:48" ht="15.75" thickBot="1" x14ac:dyDescent="0.3">
      <c r="A23" s="130" t="s">
        <v>4</v>
      </c>
      <c r="B23" s="3">
        <v>142.12</v>
      </c>
      <c r="C23" s="3">
        <v>3.38</v>
      </c>
      <c r="D23" s="3">
        <v>234.12</v>
      </c>
      <c r="E23" s="3">
        <v>3.29</v>
      </c>
      <c r="F23" s="3">
        <v>433.58</v>
      </c>
      <c r="G23" s="3">
        <v>6.3</v>
      </c>
      <c r="H23" s="3">
        <v>0.12</v>
      </c>
      <c r="I23" s="3">
        <v>0.02</v>
      </c>
      <c r="J23" s="3">
        <v>14.79</v>
      </c>
      <c r="K23" s="3">
        <v>2.82</v>
      </c>
      <c r="L23" s="3">
        <v>135.44999999999999</v>
      </c>
      <c r="M23" s="3">
        <v>2.91</v>
      </c>
      <c r="N23" s="3">
        <v>960.18</v>
      </c>
      <c r="O23" s="3">
        <v>4.0199999999999996</v>
      </c>
      <c r="Q23" s="130" t="s">
        <v>46</v>
      </c>
      <c r="R23" s="3">
        <v>112</v>
      </c>
      <c r="S23" s="3">
        <v>222</v>
      </c>
      <c r="T23" s="3">
        <v>328</v>
      </c>
      <c r="U23" s="3">
        <v>231</v>
      </c>
      <c r="V23" s="3">
        <v>217</v>
      </c>
      <c r="W23" s="3">
        <v>236</v>
      </c>
      <c r="Y23" s="130" t="s">
        <v>179</v>
      </c>
      <c r="Z23" s="3">
        <v>0</v>
      </c>
      <c r="AA23" s="3">
        <v>0</v>
      </c>
      <c r="AB23" s="3">
        <v>0</v>
      </c>
      <c r="AC23" s="3">
        <v>0</v>
      </c>
      <c r="AD23" s="3">
        <v>0.01</v>
      </c>
      <c r="AE23" s="3">
        <v>0</v>
      </c>
      <c r="AF23" s="129">
        <v>2589.27</v>
      </c>
      <c r="AG23" s="3">
        <v>3.64</v>
      </c>
      <c r="AI23" s="130" t="s">
        <v>42</v>
      </c>
      <c r="AJ23" s="131" t="s">
        <v>58</v>
      </c>
      <c r="AK23" s="3">
        <v>1.05</v>
      </c>
      <c r="AL23" s="3">
        <v>3.12</v>
      </c>
      <c r="AM23" s="3">
        <v>3.31</v>
      </c>
      <c r="AN23" s="3">
        <v>2.98</v>
      </c>
      <c r="AO23" s="3">
        <v>6.42</v>
      </c>
      <c r="AP23" s="3">
        <v>2.98</v>
      </c>
      <c r="AQ23" s="3">
        <v>6.73</v>
      </c>
      <c r="AR23" s="3">
        <v>2.97</v>
      </c>
      <c r="AS23" s="3">
        <v>7.26</v>
      </c>
      <c r="AT23" s="3">
        <v>3.02</v>
      </c>
      <c r="AU23" s="3">
        <v>5.34</v>
      </c>
      <c r="AV23" s="3">
        <v>2.99</v>
      </c>
    </row>
    <row r="24" spans="1:48" ht="27.75" customHeight="1" thickBot="1" x14ac:dyDescent="0.3">
      <c r="A24" s="130" t="s">
        <v>12</v>
      </c>
      <c r="B24" s="3">
        <v>0.98</v>
      </c>
      <c r="C24" s="3">
        <v>0.02</v>
      </c>
      <c r="D24" s="3">
        <v>-0.04</v>
      </c>
      <c r="E24" s="3">
        <v>0</v>
      </c>
      <c r="F24" s="3">
        <v>-1.1499999999999999</v>
      </c>
      <c r="G24" s="3">
        <v>-0.02</v>
      </c>
      <c r="H24" s="3" t="s">
        <v>139</v>
      </c>
      <c r="I24" s="3" t="s">
        <v>139</v>
      </c>
      <c r="J24" s="3" t="s">
        <v>139</v>
      </c>
      <c r="K24" s="3" t="s">
        <v>139</v>
      </c>
      <c r="L24" s="3">
        <v>2.23</v>
      </c>
      <c r="M24" s="3">
        <v>0.05</v>
      </c>
      <c r="N24" s="3">
        <v>2.0099999999999998</v>
      </c>
      <c r="O24" s="3">
        <v>0.01</v>
      </c>
      <c r="Q24" s="130" t="s">
        <v>47</v>
      </c>
      <c r="R24" s="3">
        <v>1626</v>
      </c>
      <c r="S24" s="3">
        <v>1457</v>
      </c>
      <c r="T24" s="3">
        <v>1387</v>
      </c>
      <c r="U24" s="3">
        <v>1493</v>
      </c>
      <c r="V24" s="3">
        <v>1558</v>
      </c>
      <c r="W24" s="3">
        <v>1446</v>
      </c>
      <c r="Y24" s="130" t="s">
        <v>180</v>
      </c>
      <c r="Z24" s="3">
        <v>-0.16</v>
      </c>
      <c r="AA24" s="3">
        <v>-0.12</v>
      </c>
      <c r="AB24" s="3">
        <v>-7.0000000000000007E-2</v>
      </c>
      <c r="AC24" s="3">
        <v>-0.15</v>
      </c>
      <c r="AD24" s="3">
        <v>-0.06</v>
      </c>
      <c r="AE24" s="3">
        <v>-0.1</v>
      </c>
      <c r="AF24" s="129">
        <v>-110021.82</v>
      </c>
      <c r="AG24" s="3">
        <v>-154.59</v>
      </c>
      <c r="AI24" s="130" t="s">
        <v>42</v>
      </c>
      <c r="AJ24" s="131" t="s">
        <v>57</v>
      </c>
      <c r="AK24" s="3">
        <v>0.05</v>
      </c>
      <c r="AL24" s="3">
        <v>3.54</v>
      </c>
      <c r="AM24" s="3">
        <v>0.42</v>
      </c>
      <c r="AN24" s="3">
        <v>6.5</v>
      </c>
      <c r="AO24" s="3">
        <v>1.56</v>
      </c>
      <c r="AP24" s="3">
        <v>5.65</v>
      </c>
      <c r="AQ24" s="3">
        <v>1.53</v>
      </c>
      <c r="AR24" s="3">
        <v>5.66</v>
      </c>
      <c r="AS24" s="3">
        <v>1.99</v>
      </c>
      <c r="AT24" s="3">
        <v>5.14</v>
      </c>
      <c r="AU24" s="3">
        <v>1.22</v>
      </c>
      <c r="AV24" s="3">
        <v>5.55</v>
      </c>
    </row>
    <row r="25" spans="1:48" ht="54.75" thickBot="1" x14ac:dyDescent="0.3">
      <c r="A25" s="130" t="s">
        <v>171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Q25" s="128" t="s">
        <v>48</v>
      </c>
      <c r="R25" s="3">
        <v>1608</v>
      </c>
      <c r="S25" s="3">
        <v>1712</v>
      </c>
      <c r="T25" s="3">
        <v>1901</v>
      </c>
      <c r="U25" s="3">
        <v>1299</v>
      </c>
      <c r="V25" s="3">
        <v>1183</v>
      </c>
      <c r="W25" s="3">
        <v>1485</v>
      </c>
      <c r="Y25" s="128" t="s">
        <v>48</v>
      </c>
      <c r="Z25" s="3">
        <v>4.17</v>
      </c>
      <c r="AA25" s="3">
        <v>11.24</v>
      </c>
      <c r="AB25" s="3">
        <v>15.57</v>
      </c>
      <c r="AC25" s="3">
        <v>25.2</v>
      </c>
      <c r="AD25" s="3">
        <v>40.380000000000003</v>
      </c>
      <c r="AE25" s="3">
        <v>18.82</v>
      </c>
      <c r="AF25" s="129">
        <v>20132029.73</v>
      </c>
      <c r="AG25" s="129">
        <v>28286.45</v>
      </c>
      <c r="AI25" s="130" t="s">
        <v>47</v>
      </c>
      <c r="AJ25" s="131" t="s">
        <v>58</v>
      </c>
      <c r="AK25" s="3">
        <v>0.12</v>
      </c>
      <c r="AL25" s="3">
        <v>3.52</v>
      </c>
      <c r="AM25" s="3">
        <v>0.36</v>
      </c>
      <c r="AN25" s="3">
        <v>3.6</v>
      </c>
      <c r="AO25" s="3">
        <v>0.74</v>
      </c>
      <c r="AP25" s="3">
        <v>3.64</v>
      </c>
      <c r="AQ25" s="3">
        <v>0.53</v>
      </c>
      <c r="AR25" s="3">
        <v>3.62</v>
      </c>
      <c r="AS25" s="3">
        <v>0.46</v>
      </c>
      <c r="AT25" s="3">
        <v>3.56</v>
      </c>
      <c r="AU25" s="3">
        <v>0.51</v>
      </c>
      <c r="AV25" s="3">
        <v>3.62</v>
      </c>
    </row>
    <row r="26" spans="1:48" ht="27.75" customHeight="1" thickBot="1" x14ac:dyDescent="0.3">
      <c r="A26" s="128" t="s">
        <v>16</v>
      </c>
      <c r="B26" s="129">
        <v>4209.42</v>
      </c>
      <c r="C26" s="3">
        <v>100</v>
      </c>
      <c r="D26" s="129">
        <v>7126.31</v>
      </c>
      <c r="E26" s="3">
        <v>100</v>
      </c>
      <c r="F26" s="129">
        <v>6877.94</v>
      </c>
      <c r="G26" s="3">
        <v>100</v>
      </c>
      <c r="H26" s="3">
        <v>491.61</v>
      </c>
      <c r="I26" s="3">
        <v>100</v>
      </c>
      <c r="J26" s="3">
        <v>523.67999999999995</v>
      </c>
      <c r="K26" s="3">
        <v>100</v>
      </c>
      <c r="L26" s="129">
        <v>4652.01</v>
      </c>
      <c r="M26" s="3">
        <v>100</v>
      </c>
      <c r="N26" s="129">
        <v>23880.98</v>
      </c>
      <c r="O26" s="3">
        <v>100</v>
      </c>
      <c r="Q26" s="130" t="s">
        <v>49</v>
      </c>
      <c r="R26" s="3">
        <v>7056</v>
      </c>
      <c r="S26" s="3">
        <v>4244</v>
      </c>
      <c r="T26" s="3">
        <v>4605</v>
      </c>
      <c r="U26" s="3">
        <v>3590</v>
      </c>
      <c r="V26" s="3">
        <v>3224</v>
      </c>
      <c r="W26" s="3">
        <v>4207</v>
      </c>
      <c r="Y26" s="130" t="s">
        <v>178</v>
      </c>
      <c r="Z26" s="3">
        <v>10.28</v>
      </c>
      <c r="AA26" s="3">
        <v>10.35</v>
      </c>
      <c r="AB26" s="3">
        <v>8.17</v>
      </c>
      <c r="AC26" s="3">
        <v>2.79</v>
      </c>
      <c r="AD26" s="3">
        <v>0.64</v>
      </c>
      <c r="AE26" s="3">
        <v>6.7</v>
      </c>
      <c r="AF26" s="129">
        <v>7173560.7000000002</v>
      </c>
      <c r="AG26" s="129">
        <v>10079.19</v>
      </c>
      <c r="AI26" s="130" t="s">
        <v>32</v>
      </c>
      <c r="AJ26" s="131" t="s">
        <v>58</v>
      </c>
      <c r="AK26" s="3">
        <v>0</v>
      </c>
      <c r="AL26" s="3">
        <v>1.25</v>
      </c>
      <c r="AM26" s="3">
        <v>0.01</v>
      </c>
      <c r="AN26" s="3">
        <v>1.21</v>
      </c>
      <c r="AO26" s="3">
        <v>0.01</v>
      </c>
      <c r="AP26" s="3">
        <v>1.01</v>
      </c>
      <c r="AQ26" s="3">
        <v>0.01</v>
      </c>
      <c r="AR26" s="3">
        <v>1.1200000000000001</v>
      </c>
      <c r="AS26" s="3">
        <v>0</v>
      </c>
      <c r="AT26" s="3">
        <v>1.1299999999999999</v>
      </c>
      <c r="AU26" s="3">
        <v>0.01</v>
      </c>
      <c r="AV26" s="3">
        <v>1.1100000000000001</v>
      </c>
    </row>
    <row r="27" spans="1:48" ht="41.25" customHeight="1" thickBot="1" x14ac:dyDescent="0.3">
      <c r="A27" s="128" t="s">
        <v>17</v>
      </c>
      <c r="B27" s="3">
        <v>185.91</v>
      </c>
      <c r="C27" s="3">
        <v>4.42</v>
      </c>
      <c r="D27" s="3">
        <v>336.36</v>
      </c>
      <c r="E27" s="3">
        <v>4.72</v>
      </c>
      <c r="F27" s="3">
        <v>289.86</v>
      </c>
      <c r="G27" s="3">
        <v>4.21</v>
      </c>
      <c r="H27" s="3">
        <v>22.32</v>
      </c>
      <c r="I27" s="3">
        <v>4.54</v>
      </c>
      <c r="J27" s="3">
        <v>21.51</v>
      </c>
      <c r="K27" s="3">
        <v>4.1100000000000003</v>
      </c>
      <c r="L27" s="3">
        <v>217.25</v>
      </c>
      <c r="M27" s="3">
        <v>4.67</v>
      </c>
      <c r="N27" s="129">
        <v>1073.21</v>
      </c>
      <c r="O27" s="3">
        <v>4.49</v>
      </c>
      <c r="Q27" s="130" t="s">
        <v>50</v>
      </c>
      <c r="R27" s="3">
        <v>983</v>
      </c>
      <c r="S27" s="3">
        <v>1708</v>
      </c>
      <c r="T27" s="3">
        <v>1623</v>
      </c>
      <c r="U27" s="3">
        <v>2172</v>
      </c>
      <c r="V27" s="3">
        <v>1342</v>
      </c>
      <c r="W27" s="3">
        <v>1598</v>
      </c>
      <c r="Y27" s="130" t="s">
        <v>181</v>
      </c>
      <c r="Z27" s="3">
        <v>0</v>
      </c>
      <c r="AA27" s="3">
        <v>0.02</v>
      </c>
      <c r="AB27" s="3">
        <v>0.02</v>
      </c>
      <c r="AC27" s="3">
        <v>0.01</v>
      </c>
      <c r="AD27" s="3" t="s">
        <v>139</v>
      </c>
      <c r="AE27" s="3">
        <v>0.01</v>
      </c>
      <c r="AF27" s="129">
        <v>11206.33</v>
      </c>
      <c r="AG27" s="3">
        <v>15.75</v>
      </c>
      <c r="AI27" s="133" t="s">
        <v>146</v>
      </c>
      <c r="AJ27" s="210" t="s">
        <v>56</v>
      </c>
      <c r="AK27" s="204">
        <v>1.58</v>
      </c>
      <c r="AL27" s="204">
        <v>0.32</v>
      </c>
      <c r="AM27" s="204">
        <v>3.27</v>
      </c>
      <c r="AN27" s="204">
        <v>0.36</v>
      </c>
      <c r="AO27" s="204">
        <v>1.8</v>
      </c>
      <c r="AP27" s="204">
        <v>0.38</v>
      </c>
      <c r="AQ27" s="204">
        <v>6.83</v>
      </c>
      <c r="AR27" s="204">
        <v>0.37</v>
      </c>
      <c r="AS27" s="204">
        <v>16.72</v>
      </c>
      <c r="AT27" s="204">
        <v>0.36</v>
      </c>
      <c r="AU27" s="204">
        <v>5.23</v>
      </c>
      <c r="AV27" s="204">
        <v>0.36</v>
      </c>
    </row>
    <row r="28" spans="1:48" ht="27.75" thickBot="1" x14ac:dyDescent="0.3">
      <c r="A28" s="128" t="s">
        <v>18</v>
      </c>
      <c r="B28" s="129">
        <v>4016.29</v>
      </c>
      <c r="C28" s="3">
        <v>95.41</v>
      </c>
      <c r="D28" s="129">
        <v>6810.81</v>
      </c>
      <c r="E28" s="3">
        <v>95.57</v>
      </c>
      <c r="F28" s="129">
        <v>6577.22</v>
      </c>
      <c r="G28" s="3">
        <v>95.63</v>
      </c>
      <c r="H28" s="3">
        <v>468.93</v>
      </c>
      <c r="I28" s="3">
        <v>95.39</v>
      </c>
      <c r="J28" s="3">
        <v>501.97</v>
      </c>
      <c r="K28" s="3">
        <v>95.85</v>
      </c>
      <c r="L28" s="129">
        <v>4438.33</v>
      </c>
      <c r="M28" s="3">
        <v>95.41</v>
      </c>
      <c r="N28" s="129">
        <v>22813.55</v>
      </c>
      <c r="O28" s="3">
        <v>95.53</v>
      </c>
      <c r="Q28" s="128" t="s">
        <v>52</v>
      </c>
      <c r="R28" s="3">
        <v>1032</v>
      </c>
      <c r="S28" s="3">
        <v>1807</v>
      </c>
      <c r="T28" s="3">
        <v>1713</v>
      </c>
      <c r="U28" s="3">
        <v>2238</v>
      </c>
      <c r="V28" s="3">
        <v>1368</v>
      </c>
      <c r="W28" s="3">
        <v>1672</v>
      </c>
      <c r="Y28" s="130" t="s">
        <v>167</v>
      </c>
      <c r="Z28" s="3">
        <v>0</v>
      </c>
      <c r="AA28" s="3">
        <v>0.02</v>
      </c>
      <c r="AB28" s="3">
        <v>0.01</v>
      </c>
      <c r="AC28" s="3">
        <v>0.01</v>
      </c>
      <c r="AD28" s="3" t="s">
        <v>139</v>
      </c>
      <c r="AE28" s="3">
        <v>0.01</v>
      </c>
      <c r="AF28" s="129">
        <v>6310.06</v>
      </c>
      <c r="AG28" s="3">
        <v>8.8699999999999992</v>
      </c>
      <c r="AI28" s="134" t="s">
        <v>46</v>
      </c>
      <c r="AJ28" s="211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</row>
    <row r="29" spans="1:48" ht="27.75" thickBot="1" x14ac:dyDescent="0.3">
      <c r="A29" s="128" t="s">
        <v>19</v>
      </c>
      <c r="B29" s="3">
        <v>6.66</v>
      </c>
      <c r="C29" s="3">
        <v>0.16</v>
      </c>
      <c r="D29" s="3">
        <v>-21.47</v>
      </c>
      <c r="E29" s="3">
        <v>-0.3</v>
      </c>
      <c r="F29" s="3">
        <v>10.37</v>
      </c>
      <c r="G29" s="3">
        <v>0.15</v>
      </c>
      <c r="H29" s="3">
        <v>-0.01</v>
      </c>
      <c r="I29" s="3">
        <v>0</v>
      </c>
      <c r="J29" s="3">
        <v>0.11</v>
      </c>
      <c r="K29" s="3">
        <v>0.02</v>
      </c>
      <c r="L29" s="3">
        <v>-3.62</v>
      </c>
      <c r="M29" s="3">
        <v>-0.08</v>
      </c>
      <c r="N29" s="3">
        <v>-7.94</v>
      </c>
      <c r="O29" s="3">
        <v>-0.03</v>
      </c>
      <c r="Q29" s="128" t="s">
        <v>141</v>
      </c>
      <c r="R29" s="3">
        <v>2248</v>
      </c>
      <c r="S29" s="3">
        <v>2699</v>
      </c>
      <c r="T29" s="3">
        <v>3070</v>
      </c>
      <c r="U29" s="3">
        <v>2656</v>
      </c>
      <c r="V29" s="3">
        <v>2295</v>
      </c>
      <c r="W29" s="3">
        <v>2691</v>
      </c>
      <c r="Y29" s="130" t="s">
        <v>41</v>
      </c>
      <c r="Z29" s="3">
        <v>0.02</v>
      </c>
      <c r="AA29" s="3">
        <v>0.03</v>
      </c>
      <c r="AB29" s="3">
        <v>0.04</v>
      </c>
      <c r="AC29" s="3">
        <v>0.03</v>
      </c>
      <c r="AD29" s="3">
        <v>0.04</v>
      </c>
      <c r="AE29" s="3">
        <v>0.03</v>
      </c>
      <c r="AF29" s="129">
        <v>34580.42</v>
      </c>
      <c r="AG29" s="3">
        <v>48.59</v>
      </c>
      <c r="AI29" s="130" t="s">
        <v>46</v>
      </c>
      <c r="AJ29" s="131" t="s">
        <v>58</v>
      </c>
      <c r="AK29" s="3">
        <v>0.13</v>
      </c>
      <c r="AL29" s="3">
        <v>2.17</v>
      </c>
      <c r="AM29" s="3">
        <v>0.64</v>
      </c>
      <c r="AN29" s="3">
        <v>1.64</v>
      </c>
      <c r="AO29" s="3">
        <v>1.62</v>
      </c>
      <c r="AP29" s="3">
        <v>1.69</v>
      </c>
      <c r="AQ29" s="3">
        <v>4.8</v>
      </c>
      <c r="AR29" s="3">
        <v>1.5</v>
      </c>
      <c r="AS29" s="3">
        <v>6.93</v>
      </c>
      <c r="AT29" s="3">
        <v>1.65</v>
      </c>
      <c r="AU29" s="3">
        <v>2.64</v>
      </c>
      <c r="AV29" s="3">
        <v>1.61</v>
      </c>
    </row>
    <row r="30" spans="1:48" ht="27.75" customHeight="1" thickBot="1" x14ac:dyDescent="0.3">
      <c r="A30" s="128" t="s">
        <v>20</v>
      </c>
      <c r="B30" s="3">
        <v>0.56000000000000005</v>
      </c>
      <c r="C30" s="3">
        <v>0.01</v>
      </c>
      <c r="D30" s="3">
        <v>0.6</v>
      </c>
      <c r="E30" s="3">
        <v>0.01</v>
      </c>
      <c r="F30" s="3">
        <v>0.49</v>
      </c>
      <c r="G30" s="3">
        <v>0.01</v>
      </c>
      <c r="H30" s="3">
        <v>0.36</v>
      </c>
      <c r="I30" s="3">
        <v>7.0000000000000007E-2</v>
      </c>
      <c r="J30" s="3">
        <v>0.09</v>
      </c>
      <c r="K30" s="3">
        <v>0.02</v>
      </c>
      <c r="L30" s="3">
        <v>0.05</v>
      </c>
      <c r="M30" s="3">
        <v>0</v>
      </c>
      <c r="N30" s="3">
        <v>2.16</v>
      </c>
      <c r="O30" s="3">
        <v>0.01</v>
      </c>
      <c r="Y30" s="130" t="s">
        <v>42</v>
      </c>
      <c r="Z30" s="3">
        <v>1.1000000000000001</v>
      </c>
      <c r="AA30" s="3">
        <v>3.76</v>
      </c>
      <c r="AB30" s="3">
        <v>8.01</v>
      </c>
      <c r="AC30" s="3">
        <v>8.4</v>
      </c>
      <c r="AD30" s="3">
        <v>9.3699999999999992</v>
      </c>
      <c r="AE30" s="3">
        <v>6.62</v>
      </c>
      <c r="AF30" s="129">
        <v>7083191.1100000003</v>
      </c>
      <c r="AG30" s="129">
        <v>9952.2199999999993</v>
      </c>
      <c r="AI30" s="130" t="s">
        <v>119</v>
      </c>
      <c r="AJ30" s="131" t="s">
        <v>56</v>
      </c>
      <c r="AK30" s="3">
        <v>0.12</v>
      </c>
      <c r="AL30" s="3">
        <v>0.27</v>
      </c>
      <c r="AM30" s="3">
        <v>0.37</v>
      </c>
      <c r="AN30" s="3">
        <v>0.28000000000000003</v>
      </c>
      <c r="AO30" s="3">
        <v>0.09</v>
      </c>
      <c r="AP30" s="3">
        <v>0.27</v>
      </c>
      <c r="AQ30" s="3">
        <v>0.5</v>
      </c>
      <c r="AR30" s="3">
        <v>0.27</v>
      </c>
      <c r="AS30" s="3">
        <v>2.3199999999999998</v>
      </c>
      <c r="AT30" s="3">
        <v>0.27</v>
      </c>
      <c r="AU30" s="3">
        <v>0.56000000000000005</v>
      </c>
      <c r="AV30" s="3">
        <v>0.27</v>
      </c>
    </row>
    <row r="31" spans="1:48" ht="27.75" thickBot="1" x14ac:dyDescent="0.3">
      <c r="Y31" s="128" t="s">
        <v>43</v>
      </c>
      <c r="Z31" s="3">
        <v>11.41</v>
      </c>
      <c r="AA31" s="3">
        <v>14.18</v>
      </c>
      <c r="AB31" s="3">
        <v>16.239999999999998</v>
      </c>
      <c r="AC31" s="3">
        <v>11.23</v>
      </c>
      <c r="AD31" s="3">
        <v>10.050000000000001</v>
      </c>
      <c r="AE31" s="3">
        <v>13.37</v>
      </c>
      <c r="AF31" s="129">
        <v>14308848.630000001</v>
      </c>
      <c r="AG31" s="129">
        <v>20104.599999999999</v>
      </c>
      <c r="AI31" s="133" t="s">
        <v>147</v>
      </c>
      <c r="AJ31" s="210" t="s">
        <v>165</v>
      </c>
      <c r="AK31" s="204" t="s">
        <v>139</v>
      </c>
      <c r="AL31" s="204" t="s">
        <v>139</v>
      </c>
      <c r="AM31" s="204" t="s">
        <v>139</v>
      </c>
      <c r="AN31" s="204" t="s">
        <v>139</v>
      </c>
      <c r="AO31" s="204">
        <v>0</v>
      </c>
      <c r="AP31" s="204">
        <v>11.04</v>
      </c>
      <c r="AQ31" s="204">
        <v>0.01</v>
      </c>
      <c r="AR31" s="204">
        <v>11.04</v>
      </c>
      <c r="AS31" s="204">
        <v>0.01</v>
      </c>
      <c r="AT31" s="204">
        <v>11.04</v>
      </c>
      <c r="AU31" s="204">
        <v>0</v>
      </c>
      <c r="AV31" s="204">
        <v>11.04</v>
      </c>
    </row>
    <row r="32" spans="1:48" ht="15.75" thickBot="1" x14ac:dyDescent="0.3">
      <c r="Y32" s="130" t="s">
        <v>182</v>
      </c>
      <c r="Z32" s="3">
        <v>0.03</v>
      </c>
      <c r="AA32" s="3">
        <v>0.03</v>
      </c>
      <c r="AB32" s="3">
        <v>7.0000000000000007E-2</v>
      </c>
      <c r="AC32" s="3">
        <v>0.05</v>
      </c>
      <c r="AD32" s="3" t="s">
        <v>139</v>
      </c>
      <c r="AE32" s="3">
        <v>0.05</v>
      </c>
      <c r="AF32" s="129">
        <v>48493.69</v>
      </c>
      <c r="AG32" s="3">
        <v>68.14</v>
      </c>
      <c r="AI32" s="134" t="s">
        <v>49</v>
      </c>
      <c r="AJ32" s="211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</row>
    <row r="33" spans="25:48" ht="15.75" thickBot="1" x14ac:dyDescent="0.3">
      <c r="Y33" s="130" t="s">
        <v>183</v>
      </c>
      <c r="Z33" s="3">
        <v>2.2599999999999998</v>
      </c>
      <c r="AA33" s="3">
        <v>2.2999999999999998</v>
      </c>
      <c r="AB33" s="3">
        <v>1.93</v>
      </c>
      <c r="AC33" s="3">
        <v>0.65</v>
      </c>
      <c r="AD33" s="3" t="s">
        <v>139</v>
      </c>
      <c r="AE33" s="3">
        <v>1.51</v>
      </c>
      <c r="AF33" s="129">
        <v>1616029.1</v>
      </c>
      <c r="AG33" s="129">
        <v>2270.6</v>
      </c>
      <c r="AI33" s="130" t="s">
        <v>49</v>
      </c>
      <c r="AJ33" s="131" t="s">
        <v>61</v>
      </c>
      <c r="AK33" s="3" t="s">
        <v>139</v>
      </c>
      <c r="AL33" s="3" t="s">
        <v>139</v>
      </c>
      <c r="AM33" s="3">
        <v>0.02</v>
      </c>
      <c r="AN33" s="3">
        <v>6.15</v>
      </c>
      <c r="AO33" s="3">
        <v>0.02</v>
      </c>
      <c r="AP33" s="3">
        <v>6.15</v>
      </c>
      <c r="AQ33" s="3">
        <v>0.03</v>
      </c>
      <c r="AR33" s="3">
        <v>6.15</v>
      </c>
      <c r="AS33" s="3">
        <v>0.02</v>
      </c>
      <c r="AT33" s="3">
        <v>6.15</v>
      </c>
      <c r="AU33" s="3">
        <v>0.02</v>
      </c>
      <c r="AV33" s="3">
        <v>6.15</v>
      </c>
    </row>
    <row r="34" spans="25:48" ht="15.75" thickBot="1" x14ac:dyDescent="0.3">
      <c r="Y34" s="130" t="s">
        <v>184</v>
      </c>
      <c r="Z34" s="3">
        <v>0</v>
      </c>
      <c r="AA34" s="3">
        <v>0</v>
      </c>
      <c r="AB34" s="3">
        <v>0.03</v>
      </c>
      <c r="AC34" s="3">
        <v>0.01</v>
      </c>
      <c r="AD34" s="3">
        <v>0.03</v>
      </c>
      <c r="AE34" s="3">
        <v>0.02</v>
      </c>
      <c r="AF34" s="129">
        <v>19294.34</v>
      </c>
      <c r="AG34" s="3">
        <v>27.11</v>
      </c>
      <c r="AI34" s="130" t="s">
        <v>49</v>
      </c>
      <c r="AJ34" s="131" t="s">
        <v>58</v>
      </c>
      <c r="AK34" s="3">
        <v>0.01</v>
      </c>
      <c r="AL34" s="3">
        <v>2.8</v>
      </c>
      <c r="AM34" s="3">
        <v>0.03</v>
      </c>
      <c r="AN34" s="3">
        <v>2.8</v>
      </c>
      <c r="AO34" s="3">
        <v>0.04</v>
      </c>
      <c r="AP34" s="3">
        <v>2.8</v>
      </c>
      <c r="AQ34" s="3">
        <v>0.04</v>
      </c>
      <c r="AR34" s="3">
        <v>2.8</v>
      </c>
      <c r="AS34" s="3">
        <v>0.01</v>
      </c>
      <c r="AT34" s="3">
        <v>2.8</v>
      </c>
      <c r="AU34" s="3">
        <v>0.03</v>
      </c>
      <c r="AV34" s="3">
        <v>2.8</v>
      </c>
    </row>
    <row r="35" spans="25:48" ht="15.75" thickBot="1" x14ac:dyDescent="0.3">
      <c r="Y35" s="130" t="s">
        <v>185</v>
      </c>
      <c r="Z35" s="3" t="s">
        <v>139</v>
      </c>
      <c r="AA35" s="3">
        <v>0.01</v>
      </c>
      <c r="AB35" s="3">
        <v>0</v>
      </c>
      <c r="AC35" s="3">
        <v>0</v>
      </c>
      <c r="AD35" s="3" t="s">
        <v>139</v>
      </c>
      <c r="AE35" s="3">
        <v>0</v>
      </c>
      <c r="AF35" s="129">
        <v>3430.06</v>
      </c>
      <c r="AG35" s="3">
        <v>4.82</v>
      </c>
      <c r="AI35" s="130" t="s">
        <v>49</v>
      </c>
      <c r="AJ35" s="131" t="s">
        <v>57</v>
      </c>
      <c r="AK35" s="3" t="s">
        <v>139</v>
      </c>
      <c r="AL35" s="3" t="s">
        <v>139</v>
      </c>
      <c r="AM35" s="3">
        <v>0</v>
      </c>
      <c r="AN35" s="3">
        <v>5.25</v>
      </c>
      <c r="AO35" s="3">
        <v>0.01</v>
      </c>
      <c r="AP35" s="3">
        <v>5.92</v>
      </c>
      <c r="AQ35" s="3">
        <v>0.01</v>
      </c>
      <c r="AR35" s="3">
        <v>5.25</v>
      </c>
      <c r="AS35" s="3" t="s">
        <v>139</v>
      </c>
      <c r="AT35" s="3" t="s">
        <v>139</v>
      </c>
      <c r="AU35" s="3">
        <v>0.01</v>
      </c>
      <c r="AV35" s="3">
        <v>5.59</v>
      </c>
    </row>
    <row r="36" spans="25:48" ht="15.75" thickBot="1" x14ac:dyDescent="0.3">
      <c r="Y36" s="130" t="s">
        <v>186</v>
      </c>
      <c r="Z36" s="3" t="s">
        <v>139</v>
      </c>
      <c r="AA36" s="3" t="s">
        <v>139</v>
      </c>
      <c r="AB36" s="3">
        <v>0</v>
      </c>
      <c r="AC36" s="3" t="s">
        <v>139</v>
      </c>
      <c r="AD36" s="3" t="s">
        <v>139</v>
      </c>
      <c r="AE36" s="3">
        <v>0</v>
      </c>
      <c r="AF36" s="129">
        <v>1845.04</v>
      </c>
      <c r="AG36" s="3">
        <v>2.59</v>
      </c>
      <c r="AI36" s="130" t="s">
        <v>50</v>
      </c>
      <c r="AJ36" s="131" t="s">
        <v>163</v>
      </c>
      <c r="AK36" s="3">
        <v>0</v>
      </c>
      <c r="AL36" s="3">
        <v>2.58</v>
      </c>
      <c r="AM36" s="3" t="s">
        <v>139</v>
      </c>
      <c r="AN36" s="3" t="s">
        <v>139</v>
      </c>
      <c r="AO36" s="3" t="s">
        <v>139</v>
      </c>
      <c r="AP36" s="3" t="s">
        <v>139</v>
      </c>
      <c r="AQ36" s="3" t="s">
        <v>139</v>
      </c>
      <c r="AR36" s="3" t="s">
        <v>139</v>
      </c>
      <c r="AS36" s="3" t="s">
        <v>139</v>
      </c>
      <c r="AT36" s="3" t="s">
        <v>139</v>
      </c>
      <c r="AU36" s="3">
        <v>0</v>
      </c>
      <c r="AV36" s="3">
        <v>2.58</v>
      </c>
    </row>
    <row r="37" spans="25:48" ht="95.25" thickBot="1" x14ac:dyDescent="0.3">
      <c r="Y37" s="128" t="s">
        <v>187</v>
      </c>
      <c r="Z37" s="3">
        <v>2.2999999999999998</v>
      </c>
      <c r="AA37" s="3">
        <v>2.34</v>
      </c>
      <c r="AB37" s="3">
        <v>2.04</v>
      </c>
      <c r="AC37" s="3">
        <v>0.71</v>
      </c>
      <c r="AD37" s="3">
        <v>0.03</v>
      </c>
      <c r="AE37" s="3">
        <v>1.58</v>
      </c>
      <c r="AF37" s="129">
        <v>1689092.24</v>
      </c>
      <c r="AG37" s="129">
        <v>2373.25</v>
      </c>
      <c r="AI37" s="130" t="s">
        <v>50</v>
      </c>
      <c r="AJ37" s="131" t="s">
        <v>60</v>
      </c>
      <c r="AK37" s="3">
        <v>0.02</v>
      </c>
      <c r="AL37" s="3">
        <v>12.26</v>
      </c>
      <c r="AM37" s="3">
        <v>0.02</v>
      </c>
      <c r="AN37" s="3">
        <v>12.26</v>
      </c>
      <c r="AO37" s="3">
        <v>0.03</v>
      </c>
      <c r="AP37" s="3">
        <v>12.39</v>
      </c>
      <c r="AQ37" s="3">
        <v>0.04</v>
      </c>
      <c r="AR37" s="3">
        <v>12.26</v>
      </c>
      <c r="AS37" s="3">
        <v>0.01</v>
      </c>
      <c r="AT37" s="3">
        <v>12.26</v>
      </c>
      <c r="AU37" s="3">
        <v>0.03</v>
      </c>
      <c r="AV37" s="3">
        <v>12.32</v>
      </c>
    </row>
    <row r="38" spans="25:48" ht="15.75" thickBot="1" x14ac:dyDescent="0.3">
      <c r="Y38" s="130" t="s">
        <v>181</v>
      </c>
      <c r="Z38" s="3">
        <v>0</v>
      </c>
      <c r="AA38" s="3">
        <v>0</v>
      </c>
      <c r="AB38" s="3" t="s">
        <v>139</v>
      </c>
      <c r="AC38" s="3" t="s">
        <v>139</v>
      </c>
      <c r="AD38" s="3" t="s">
        <v>139</v>
      </c>
      <c r="AE38" s="3">
        <v>0</v>
      </c>
      <c r="AF38" s="3">
        <v>517.51</v>
      </c>
      <c r="AG38" s="3">
        <v>0.73</v>
      </c>
      <c r="AI38" s="130" t="s">
        <v>50</v>
      </c>
      <c r="AJ38" s="131" t="s">
        <v>166</v>
      </c>
      <c r="AK38" s="3">
        <v>0</v>
      </c>
      <c r="AL38" s="3">
        <v>0.48</v>
      </c>
      <c r="AM38" s="3" t="s">
        <v>139</v>
      </c>
      <c r="AN38" s="3" t="s">
        <v>139</v>
      </c>
      <c r="AO38" s="3" t="s">
        <v>139</v>
      </c>
      <c r="AP38" s="3" t="s">
        <v>139</v>
      </c>
      <c r="AQ38" s="3" t="s">
        <v>139</v>
      </c>
      <c r="AR38" s="3" t="s">
        <v>139</v>
      </c>
      <c r="AS38" s="3" t="s">
        <v>139</v>
      </c>
      <c r="AT38" s="3" t="s">
        <v>139</v>
      </c>
      <c r="AU38" s="3">
        <v>0</v>
      </c>
      <c r="AV38" s="3">
        <v>0.48</v>
      </c>
    </row>
    <row r="39" spans="25:48" ht="15.75" thickBot="1" x14ac:dyDescent="0.3">
      <c r="Y39" s="130" t="s">
        <v>188</v>
      </c>
      <c r="Z39" s="3">
        <v>0.04</v>
      </c>
      <c r="AA39" s="3">
        <v>0.04</v>
      </c>
      <c r="AB39" s="3">
        <v>0.03</v>
      </c>
      <c r="AC39" s="3">
        <v>0.01</v>
      </c>
      <c r="AD39" s="3">
        <v>0</v>
      </c>
      <c r="AE39" s="3">
        <v>0.03</v>
      </c>
      <c r="AF39" s="129">
        <v>26992.76</v>
      </c>
      <c r="AG39" s="3">
        <v>37.93</v>
      </c>
      <c r="AI39" s="130" t="s">
        <v>50</v>
      </c>
      <c r="AJ39" s="131" t="s">
        <v>62</v>
      </c>
      <c r="AK39" s="3" t="s">
        <v>139</v>
      </c>
      <c r="AL39" s="3" t="s">
        <v>139</v>
      </c>
      <c r="AM39" s="3">
        <v>0</v>
      </c>
      <c r="AN39" s="3">
        <v>1.51</v>
      </c>
      <c r="AO39" s="3" t="s">
        <v>139</v>
      </c>
      <c r="AP39" s="3" t="s">
        <v>139</v>
      </c>
      <c r="AQ39" s="3" t="s">
        <v>139</v>
      </c>
      <c r="AR39" s="3" t="s">
        <v>139</v>
      </c>
      <c r="AS39" s="3" t="s">
        <v>139</v>
      </c>
      <c r="AT39" s="3" t="s">
        <v>139</v>
      </c>
      <c r="AU39" s="3">
        <v>0</v>
      </c>
      <c r="AV39" s="3">
        <v>1.51</v>
      </c>
    </row>
    <row r="40" spans="25:48" ht="15.75" thickBot="1" x14ac:dyDescent="0.3">
      <c r="Y40" s="130" t="s">
        <v>49</v>
      </c>
      <c r="Z40" s="3">
        <v>0.01</v>
      </c>
      <c r="AA40" s="3">
        <v>0.05</v>
      </c>
      <c r="AB40" s="3">
        <v>7.0000000000000007E-2</v>
      </c>
      <c r="AC40" s="3">
        <v>0.09</v>
      </c>
      <c r="AD40" s="3">
        <v>0.03</v>
      </c>
      <c r="AE40" s="3">
        <v>0.06</v>
      </c>
      <c r="AF40" s="129">
        <v>59587.15</v>
      </c>
      <c r="AG40" s="3">
        <v>83.72</v>
      </c>
      <c r="AI40" s="130" t="s">
        <v>50</v>
      </c>
      <c r="AJ40" s="131" t="s">
        <v>61</v>
      </c>
      <c r="AK40" s="3">
        <v>0.44</v>
      </c>
      <c r="AL40" s="3">
        <v>6.26</v>
      </c>
      <c r="AM40" s="3">
        <v>0.92</v>
      </c>
      <c r="AN40" s="3">
        <v>3.99</v>
      </c>
      <c r="AO40" s="3">
        <v>1.21</v>
      </c>
      <c r="AP40" s="3">
        <v>4.08</v>
      </c>
      <c r="AQ40" s="3">
        <v>1.41</v>
      </c>
      <c r="AR40" s="3">
        <v>2.66</v>
      </c>
      <c r="AS40" s="3">
        <v>1.22</v>
      </c>
      <c r="AT40" s="3">
        <v>4.3600000000000003</v>
      </c>
      <c r="AU40" s="3">
        <v>1.0900000000000001</v>
      </c>
      <c r="AV40" s="3">
        <v>3.93</v>
      </c>
    </row>
    <row r="41" spans="25:48" ht="15.75" thickBot="1" x14ac:dyDescent="0.3">
      <c r="Y41" s="130" t="s">
        <v>189</v>
      </c>
      <c r="Z41" s="3">
        <v>0.36</v>
      </c>
      <c r="AA41" s="3">
        <v>0.35</v>
      </c>
      <c r="AB41" s="3">
        <v>0.55000000000000004</v>
      </c>
      <c r="AC41" s="3">
        <v>0.4</v>
      </c>
      <c r="AD41" s="3" t="s">
        <v>139</v>
      </c>
      <c r="AE41" s="3">
        <v>0.38</v>
      </c>
      <c r="AF41" s="129">
        <v>405534.97</v>
      </c>
      <c r="AG41" s="3">
        <v>569.79999999999995</v>
      </c>
      <c r="AI41" s="130" t="s">
        <v>50</v>
      </c>
      <c r="AJ41" s="131" t="s">
        <v>57</v>
      </c>
      <c r="AK41" s="3">
        <v>0.98</v>
      </c>
      <c r="AL41" s="3">
        <v>0.38</v>
      </c>
      <c r="AM41" s="3">
        <v>0.42</v>
      </c>
      <c r="AN41" s="3">
        <v>0.32</v>
      </c>
      <c r="AO41" s="3">
        <v>0.89</v>
      </c>
      <c r="AP41" s="3">
        <v>0.36</v>
      </c>
      <c r="AQ41" s="3">
        <v>0.41</v>
      </c>
      <c r="AR41" s="3">
        <v>0.37</v>
      </c>
      <c r="AS41" s="3">
        <v>1.1599999999999999</v>
      </c>
      <c r="AT41" s="3">
        <v>0.28999999999999998</v>
      </c>
      <c r="AU41" s="3">
        <v>0.79</v>
      </c>
      <c r="AV41" s="3">
        <v>0.34</v>
      </c>
    </row>
    <row r="42" spans="25:48" ht="15.75" thickBot="1" x14ac:dyDescent="0.3">
      <c r="Y42" s="130" t="s">
        <v>190</v>
      </c>
      <c r="Z42" s="3">
        <v>3.3</v>
      </c>
      <c r="AA42" s="3">
        <v>2.2400000000000002</v>
      </c>
      <c r="AB42" s="3">
        <v>1.79</v>
      </c>
      <c r="AC42" s="3">
        <v>0.9</v>
      </c>
      <c r="AD42" s="3" t="s">
        <v>139</v>
      </c>
      <c r="AE42" s="3">
        <v>1.64</v>
      </c>
      <c r="AF42" s="129">
        <v>1758504.68</v>
      </c>
      <c r="AG42" s="129">
        <v>2470.7800000000002</v>
      </c>
    </row>
    <row r="43" spans="25:48" ht="15.75" thickBot="1" x14ac:dyDescent="0.3">
      <c r="Y43" s="130" t="s">
        <v>191</v>
      </c>
      <c r="Z43" s="3">
        <v>0.04</v>
      </c>
      <c r="AA43" s="3">
        <v>0.12</v>
      </c>
      <c r="AB43" s="3">
        <v>0.18</v>
      </c>
      <c r="AC43" s="3">
        <v>0.1</v>
      </c>
      <c r="AD43" s="3">
        <v>0.16</v>
      </c>
      <c r="AE43" s="3">
        <v>0.13</v>
      </c>
      <c r="AF43" s="129">
        <v>141290.14000000001</v>
      </c>
      <c r="AG43" s="3">
        <v>198.52</v>
      </c>
    </row>
    <row r="44" spans="25:48" ht="15.75" thickBot="1" x14ac:dyDescent="0.3">
      <c r="Y44" s="130" t="s">
        <v>192</v>
      </c>
      <c r="Z44" s="3" t="s">
        <v>139</v>
      </c>
      <c r="AA44" s="3">
        <v>0</v>
      </c>
      <c r="AB44" s="3">
        <v>0</v>
      </c>
      <c r="AC44" s="3">
        <v>0</v>
      </c>
      <c r="AD44" s="3" t="s">
        <v>139</v>
      </c>
      <c r="AE44" s="3">
        <v>0</v>
      </c>
      <c r="AF44" s="3">
        <v>0</v>
      </c>
      <c r="AG44" s="3">
        <v>0</v>
      </c>
    </row>
    <row r="45" spans="25:48" ht="15.75" thickBot="1" x14ac:dyDescent="0.3">
      <c r="Y45" s="130" t="s">
        <v>193</v>
      </c>
      <c r="Z45" s="3">
        <v>0.01</v>
      </c>
      <c r="AA45" s="3">
        <v>0</v>
      </c>
      <c r="AB45" s="3" t="s">
        <v>139</v>
      </c>
      <c r="AC45" s="3" t="s">
        <v>139</v>
      </c>
      <c r="AD45" s="3" t="s">
        <v>139</v>
      </c>
      <c r="AE45" s="3">
        <v>0</v>
      </c>
      <c r="AF45" s="129">
        <v>1164.06</v>
      </c>
      <c r="AG45" s="3">
        <v>1.64</v>
      </c>
    </row>
    <row r="46" spans="25:48" ht="15.75" thickBot="1" x14ac:dyDescent="0.3">
      <c r="Y46" s="130" t="s">
        <v>194</v>
      </c>
      <c r="Z46" s="3">
        <v>13.68</v>
      </c>
      <c r="AA46" s="3">
        <v>12.62</v>
      </c>
      <c r="AB46" s="3">
        <v>12.84</v>
      </c>
      <c r="AC46" s="3">
        <v>10.36</v>
      </c>
      <c r="AD46" s="3">
        <v>0.99</v>
      </c>
      <c r="AE46" s="3">
        <v>10.62</v>
      </c>
      <c r="AF46" s="129">
        <v>11364997.59</v>
      </c>
      <c r="AG46" s="129">
        <v>15968.35</v>
      </c>
    </row>
    <row r="47" spans="25:48" ht="15.75" thickBot="1" x14ac:dyDescent="0.3">
      <c r="Y47" s="130" t="s">
        <v>195</v>
      </c>
      <c r="Z47" s="3">
        <v>46.05</v>
      </c>
      <c r="AA47" s="3">
        <v>29.42</v>
      </c>
      <c r="AB47" s="3">
        <v>17.13</v>
      </c>
      <c r="AC47" s="3">
        <v>7.86</v>
      </c>
      <c r="AD47" s="3" t="s">
        <v>139</v>
      </c>
      <c r="AE47" s="3">
        <v>18.96</v>
      </c>
      <c r="AF47" s="129">
        <v>20283945.379999999</v>
      </c>
      <c r="AG47" s="129">
        <v>28499.9</v>
      </c>
    </row>
    <row r="48" spans="25:48" ht="15.75" thickBot="1" x14ac:dyDescent="0.3">
      <c r="Y48" s="130" t="s">
        <v>50</v>
      </c>
      <c r="Z48" s="3">
        <v>1.44</v>
      </c>
      <c r="AA48" s="3">
        <v>1.36</v>
      </c>
      <c r="AB48" s="3">
        <v>2.13</v>
      </c>
      <c r="AC48" s="3">
        <v>1.86</v>
      </c>
      <c r="AD48" s="3">
        <v>2.39</v>
      </c>
      <c r="AE48" s="3">
        <v>1.9</v>
      </c>
      <c r="AF48" s="129">
        <v>2036392.13</v>
      </c>
      <c r="AG48" s="129">
        <v>2861.23</v>
      </c>
    </row>
    <row r="49" spans="25:33" ht="15.75" thickBot="1" x14ac:dyDescent="0.3">
      <c r="Y49" s="130" t="s">
        <v>196</v>
      </c>
      <c r="Z49" s="3">
        <v>14.26</v>
      </c>
      <c r="AA49" s="3">
        <v>11.54</v>
      </c>
      <c r="AB49" s="3">
        <v>7.67</v>
      </c>
      <c r="AC49" s="3">
        <v>4.9800000000000004</v>
      </c>
      <c r="AD49" s="3">
        <v>3.61</v>
      </c>
      <c r="AE49" s="3">
        <v>8.1300000000000008</v>
      </c>
      <c r="AF49" s="129">
        <v>8699646.7899999991</v>
      </c>
      <c r="AG49" s="129">
        <v>12223.41</v>
      </c>
    </row>
    <row r="50" spans="25:33" ht="15.75" thickBot="1" x14ac:dyDescent="0.3">
      <c r="Y50" s="130" t="s">
        <v>197</v>
      </c>
      <c r="Z50" s="3" t="s">
        <v>139</v>
      </c>
      <c r="AA50" s="3" t="s">
        <v>139</v>
      </c>
      <c r="AB50" s="3">
        <v>0</v>
      </c>
      <c r="AC50" s="3">
        <v>0.02</v>
      </c>
      <c r="AD50" s="3" t="s">
        <v>139</v>
      </c>
      <c r="AE50" s="3">
        <v>0</v>
      </c>
      <c r="AF50" s="129">
        <v>3553.34</v>
      </c>
      <c r="AG50" s="3">
        <v>4.99</v>
      </c>
    </row>
    <row r="51" spans="25:33" ht="15.75" thickBot="1" x14ac:dyDescent="0.3">
      <c r="Y51" s="130" t="s">
        <v>198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-404.86</v>
      </c>
      <c r="AG51" s="3">
        <v>-0.56999999999999995</v>
      </c>
    </row>
    <row r="52" spans="25:33" ht="15.75" thickBot="1" x14ac:dyDescent="0.3">
      <c r="Y52" s="130" t="s">
        <v>199</v>
      </c>
      <c r="Z52" s="3">
        <v>-0.11</v>
      </c>
      <c r="AA52" s="3">
        <v>-0.03</v>
      </c>
      <c r="AB52" s="3">
        <v>0.03</v>
      </c>
      <c r="AC52" s="3">
        <v>0.02</v>
      </c>
      <c r="AD52" s="3">
        <v>0.03</v>
      </c>
      <c r="AE52" s="3">
        <v>0</v>
      </c>
      <c r="AF52" s="129">
        <v>-1734.42</v>
      </c>
      <c r="AG52" s="3">
        <v>-2.44</v>
      </c>
    </row>
    <row r="53" spans="25:33" ht="15.75" thickBot="1" x14ac:dyDescent="0.3">
      <c r="Y53" s="130" t="s">
        <v>200</v>
      </c>
      <c r="Z53" s="3">
        <v>-0.02</v>
      </c>
      <c r="AA53" s="3">
        <v>-0.01</v>
      </c>
      <c r="AB53" s="3">
        <v>-0.02</v>
      </c>
      <c r="AC53" s="3">
        <v>0</v>
      </c>
      <c r="AD53" s="3">
        <v>-0.02</v>
      </c>
      <c r="AE53" s="3">
        <v>-0.01</v>
      </c>
      <c r="AF53" s="129">
        <v>-15719.77</v>
      </c>
      <c r="AG53" s="3">
        <v>-22.09</v>
      </c>
    </row>
    <row r="54" spans="25:33" ht="27.75" thickBot="1" x14ac:dyDescent="0.3">
      <c r="Y54" s="128" t="s">
        <v>52</v>
      </c>
      <c r="Z54" s="3">
        <v>79.05</v>
      </c>
      <c r="AA54" s="3">
        <v>57.71</v>
      </c>
      <c r="AB54" s="3">
        <v>42.4</v>
      </c>
      <c r="AC54" s="3">
        <v>26.6</v>
      </c>
      <c r="AD54" s="3">
        <v>7.2</v>
      </c>
      <c r="AE54" s="3">
        <v>41.84</v>
      </c>
      <c r="AF54" s="129">
        <v>44764267.439999998</v>
      </c>
      <c r="AG54" s="129">
        <v>62895.9</v>
      </c>
    </row>
    <row r="55" spans="25:33" ht="15.75" thickBot="1" x14ac:dyDescent="0.3">
      <c r="Y55" s="130" t="s">
        <v>201</v>
      </c>
      <c r="Z55" s="3">
        <v>0.28000000000000003</v>
      </c>
      <c r="AA55" s="3">
        <v>0.25</v>
      </c>
      <c r="AB55" s="3">
        <v>0.14000000000000001</v>
      </c>
      <c r="AC55" s="3">
        <v>0.08</v>
      </c>
      <c r="AD55" s="3">
        <v>0.13</v>
      </c>
      <c r="AE55" s="3">
        <v>0.16</v>
      </c>
      <c r="AF55" s="129">
        <v>175023.14</v>
      </c>
      <c r="AG55" s="3">
        <v>245.92</v>
      </c>
    </row>
    <row r="56" spans="25:33" ht="15.75" thickBot="1" x14ac:dyDescent="0.3">
      <c r="Y56" s="130" t="s">
        <v>202</v>
      </c>
      <c r="Z56" s="3">
        <v>1.23</v>
      </c>
      <c r="AA56" s="3">
        <v>0.67</v>
      </c>
      <c r="AB56" s="3">
        <v>0.24</v>
      </c>
      <c r="AC56" s="3">
        <v>0.32</v>
      </c>
      <c r="AD56" s="3">
        <v>0.44</v>
      </c>
      <c r="AE56" s="3">
        <v>0.5</v>
      </c>
      <c r="AF56" s="129">
        <v>533649.80000000005</v>
      </c>
      <c r="AG56" s="3">
        <v>749.8</v>
      </c>
    </row>
    <row r="57" spans="25:33" ht="15.75" thickBot="1" x14ac:dyDescent="0.3">
      <c r="Y57" s="130" t="s">
        <v>203</v>
      </c>
      <c r="Z57" s="3">
        <v>0.02</v>
      </c>
      <c r="AA57" s="3">
        <v>0.02</v>
      </c>
      <c r="AB57" s="3">
        <v>0.05</v>
      </c>
      <c r="AC57" s="3">
        <v>0.02</v>
      </c>
      <c r="AD57" s="3">
        <v>0.01</v>
      </c>
      <c r="AE57" s="3">
        <v>0.03</v>
      </c>
      <c r="AF57" s="129">
        <v>31414.05</v>
      </c>
      <c r="AG57" s="3">
        <v>44.14</v>
      </c>
    </row>
    <row r="58" spans="25:33" ht="41.25" thickBot="1" x14ac:dyDescent="0.3">
      <c r="Y58" s="128" t="s">
        <v>204</v>
      </c>
      <c r="Z58" s="3">
        <v>1.52</v>
      </c>
      <c r="AA58" s="3">
        <v>0.93</v>
      </c>
      <c r="AB58" s="3">
        <v>0.43</v>
      </c>
      <c r="AC58" s="3">
        <v>0.42</v>
      </c>
      <c r="AD58" s="3">
        <v>0.57999999999999996</v>
      </c>
      <c r="AE58" s="3">
        <v>0.69</v>
      </c>
      <c r="AF58" s="129">
        <v>740086.99</v>
      </c>
      <c r="AG58" s="129">
        <v>1039.8599999999999</v>
      </c>
    </row>
    <row r="59" spans="25:33" ht="27.75" thickBot="1" x14ac:dyDescent="0.3">
      <c r="Y59" s="128" t="s">
        <v>205</v>
      </c>
      <c r="Z59" s="129">
        <v>15548314.050000001</v>
      </c>
      <c r="AA59" s="129">
        <v>16798859.890000001</v>
      </c>
      <c r="AB59" s="129">
        <v>39385595.880000003</v>
      </c>
      <c r="AC59" s="129">
        <v>18259344.829999998</v>
      </c>
      <c r="AD59" s="129">
        <v>16996569.280000001</v>
      </c>
      <c r="AE59" s="3">
        <v>100</v>
      </c>
      <c r="AF59" s="129">
        <v>106988683.92</v>
      </c>
      <c r="AG59" s="129">
        <v>150324.12</v>
      </c>
    </row>
    <row r="60" spans="25:33" ht="41.25" thickBot="1" x14ac:dyDescent="0.3">
      <c r="Y60" s="128" t="s">
        <v>206</v>
      </c>
      <c r="Z60" s="129">
        <v>21846.11</v>
      </c>
      <c r="AA60" s="129">
        <v>23603.19</v>
      </c>
      <c r="AB60" s="129">
        <v>55338.61</v>
      </c>
      <c r="AC60" s="129">
        <v>25655.24</v>
      </c>
      <c r="AD60" s="129">
        <v>23880.98</v>
      </c>
      <c r="AE60" s="3">
        <v>100</v>
      </c>
      <c r="AF60" s="129">
        <v>106988683.92</v>
      </c>
      <c r="AG60" s="129">
        <v>150324.12</v>
      </c>
    </row>
  </sheetData>
  <mergeCells count="57">
    <mergeCell ref="AQ27:AQ28"/>
    <mergeCell ref="AR27:AR28"/>
    <mergeCell ref="AS27:AS28"/>
    <mergeCell ref="AT27:AT28"/>
    <mergeCell ref="AU27:AU28"/>
    <mergeCell ref="AV27:AV28"/>
    <mergeCell ref="AV31:AV32"/>
    <mergeCell ref="AI1:AI2"/>
    <mergeCell ref="AJ1:AJ2"/>
    <mergeCell ref="AJ27:AJ28"/>
    <mergeCell ref="AK27:AK28"/>
    <mergeCell ref="AL27:AL28"/>
    <mergeCell ref="AM27:AM28"/>
    <mergeCell ref="AN27:AN28"/>
    <mergeCell ref="AO27:AO28"/>
    <mergeCell ref="AP27:AP28"/>
    <mergeCell ref="AP31:AP32"/>
    <mergeCell ref="AQ31:AQ32"/>
    <mergeCell ref="AR31:AR32"/>
    <mergeCell ref="AS31:AS32"/>
    <mergeCell ref="AT31:AT32"/>
    <mergeCell ref="AU31:AU32"/>
    <mergeCell ref="AJ31:AJ32"/>
    <mergeCell ref="AK31:AK32"/>
    <mergeCell ref="AL31:AL32"/>
    <mergeCell ref="AM31:AM32"/>
    <mergeCell ref="AN31:AN32"/>
    <mergeCell ref="AO31:AO32"/>
    <mergeCell ref="AV3:AV4"/>
    <mergeCell ref="AP3:AP4"/>
    <mergeCell ref="AQ3:AQ4"/>
    <mergeCell ref="AR3:AR4"/>
    <mergeCell ref="AS3:AS4"/>
    <mergeCell ref="AT3:AT4"/>
    <mergeCell ref="AU3:AU4"/>
    <mergeCell ref="AJ3:AJ4"/>
    <mergeCell ref="AK3:AK4"/>
    <mergeCell ref="AL3:AL4"/>
    <mergeCell ref="AM3:AM4"/>
    <mergeCell ref="AN3:AN4"/>
    <mergeCell ref="AO3:AO4"/>
    <mergeCell ref="AK1:AL1"/>
    <mergeCell ref="AM1:AN1"/>
    <mergeCell ref="AO1:AP1"/>
    <mergeCell ref="AQ1:AR1"/>
    <mergeCell ref="AS1:AT1"/>
    <mergeCell ref="AU1:AV1"/>
    <mergeCell ref="L1:M1"/>
    <mergeCell ref="N1:O1"/>
    <mergeCell ref="Y1:Y2"/>
    <mergeCell ref="AE1:AG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AW131"/>
  <sheetViews>
    <sheetView zoomScale="85" zoomScaleNormal="85" workbookViewId="0">
      <selection activeCell="I9" sqref="I9"/>
    </sheetView>
  </sheetViews>
  <sheetFormatPr baseColWidth="10" defaultRowHeight="15" x14ac:dyDescent="0.25"/>
  <sheetData>
    <row r="1" spans="3:49" ht="15.75" thickBot="1" x14ac:dyDescent="0.3"/>
    <row r="2" spans="3:49" ht="15.75" customHeight="1" thickBot="1" x14ac:dyDescent="0.3">
      <c r="T2" s="204" t="s">
        <v>142</v>
      </c>
      <c r="U2" s="204" t="s">
        <v>143</v>
      </c>
      <c r="V2" s="219" t="s">
        <v>140</v>
      </c>
      <c r="W2" s="220"/>
      <c r="X2" s="219" t="s">
        <v>149</v>
      </c>
      <c r="Y2" s="220"/>
      <c r="Z2" s="219" t="s">
        <v>150</v>
      </c>
      <c r="AA2" s="220"/>
      <c r="AB2" s="219" t="s">
        <v>151</v>
      </c>
      <c r="AC2" s="220"/>
      <c r="AD2" s="219" t="s">
        <v>28</v>
      </c>
      <c r="AE2" s="220"/>
      <c r="AF2" s="219" t="s">
        <v>137</v>
      </c>
      <c r="AG2" s="220"/>
    </row>
    <row r="3" spans="3:49" ht="27.75" thickBot="1" x14ac:dyDescent="0.3">
      <c r="C3" s="206" t="s">
        <v>131</v>
      </c>
      <c r="D3" s="207"/>
      <c r="E3" s="206" t="s">
        <v>132</v>
      </c>
      <c r="F3" s="207"/>
      <c r="G3" s="206" t="s">
        <v>133</v>
      </c>
      <c r="H3" s="207"/>
      <c r="I3" s="206" t="s">
        <v>134</v>
      </c>
      <c r="J3" s="207"/>
      <c r="K3" s="206" t="s">
        <v>135</v>
      </c>
      <c r="L3" s="207"/>
      <c r="M3" s="206" t="s">
        <v>136</v>
      </c>
      <c r="N3" s="207"/>
      <c r="O3" s="206" t="s">
        <v>137</v>
      </c>
      <c r="P3" s="207"/>
      <c r="Q3" s="96"/>
      <c r="T3" s="205"/>
      <c r="U3" s="205"/>
      <c r="V3" s="3" t="s">
        <v>54</v>
      </c>
      <c r="W3" s="3" t="s">
        <v>144</v>
      </c>
      <c r="X3" s="3" t="s">
        <v>54</v>
      </c>
      <c r="Y3" s="3" t="s">
        <v>144</v>
      </c>
      <c r="Z3" s="3" t="s">
        <v>54</v>
      </c>
      <c r="AA3" s="3" t="s">
        <v>144</v>
      </c>
      <c r="AB3" s="3" t="s">
        <v>54</v>
      </c>
      <c r="AC3" s="3" t="s">
        <v>144</v>
      </c>
      <c r="AD3" s="3" t="s">
        <v>54</v>
      </c>
      <c r="AE3" s="3" t="s">
        <v>144</v>
      </c>
      <c r="AF3" s="3" t="s">
        <v>54</v>
      </c>
      <c r="AG3" s="3" t="s">
        <v>144</v>
      </c>
    </row>
    <row r="4" spans="3:49" ht="41.25" thickBot="1" x14ac:dyDescent="0.3">
      <c r="C4" s="126" t="s">
        <v>138</v>
      </c>
      <c r="D4" s="126" t="s">
        <v>0</v>
      </c>
      <c r="E4" s="126" t="s">
        <v>138</v>
      </c>
      <c r="F4" s="126" t="s">
        <v>0</v>
      </c>
      <c r="G4" s="126" t="s">
        <v>138</v>
      </c>
      <c r="H4" s="126" t="s">
        <v>0</v>
      </c>
      <c r="I4" s="126" t="s">
        <v>138</v>
      </c>
      <c r="J4" s="126" t="s">
        <v>0</v>
      </c>
      <c r="K4" s="126" t="s">
        <v>138</v>
      </c>
      <c r="L4" s="126" t="s">
        <v>0</v>
      </c>
      <c r="M4" s="126" t="s">
        <v>138</v>
      </c>
      <c r="N4" s="126" t="s">
        <v>0</v>
      </c>
      <c r="O4" s="126" t="s">
        <v>138</v>
      </c>
      <c r="P4" s="126" t="s">
        <v>0</v>
      </c>
      <c r="Q4" s="127"/>
      <c r="T4" s="99" t="s">
        <v>148</v>
      </c>
      <c r="U4" s="221" t="s">
        <v>56</v>
      </c>
      <c r="V4" s="217">
        <v>0</v>
      </c>
      <c r="W4" s="217">
        <v>0.95</v>
      </c>
      <c r="X4" s="217">
        <v>0.01</v>
      </c>
      <c r="Y4" s="217">
        <v>0.95</v>
      </c>
      <c r="Z4" s="217">
        <v>0.01</v>
      </c>
      <c r="AA4" s="217">
        <v>0.95</v>
      </c>
      <c r="AB4" s="217">
        <v>0.01</v>
      </c>
      <c r="AC4" s="217">
        <v>0.95</v>
      </c>
      <c r="AD4" s="217" t="s">
        <v>139</v>
      </c>
      <c r="AE4" s="217" t="s">
        <v>139</v>
      </c>
      <c r="AF4" s="217">
        <v>0.01</v>
      </c>
      <c r="AG4" s="223">
        <v>0.95</v>
      </c>
      <c r="AI4" s="99" t="s">
        <v>1</v>
      </c>
      <c r="AJ4" s="100">
        <v>3735.51</v>
      </c>
      <c r="AK4" s="118">
        <v>92.52</v>
      </c>
      <c r="AL4" s="100">
        <v>6276.24</v>
      </c>
      <c r="AM4" s="118">
        <v>90.22</v>
      </c>
      <c r="AN4" s="100">
        <v>6344.15</v>
      </c>
      <c r="AO4" s="118">
        <v>94.77</v>
      </c>
      <c r="AP4" s="118">
        <v>433.6</v>
      </c>
      <c r="AQ4" s="118">
        <v>96.57</v>
      </c>
      <c r="AR4" s="118">
        <v>462.39</v>
      </c>
      <c r="AS4" s="118">
        <v>92.75</v>
      </c>
      <c r="AT4" s="100">
        <v>4299.5600000000004</v>
      </c>
      <c r="AU4" s="118">
        <v>93.31</v>
      </c>
      <c r="AV4" s="100">
        <v>21551.45</v>
      </c>
      <c r="AW4" s="119">
        <v>92.72</v>
      </c>
    </row>
    <row r="5" spans="3:49" ht="27.75" thickBot="1" x14ac:dyDescent="0.35">
      <c r="C5" s="3" t="s">
        <v>138</v>
      </c>
      <c r="D5" s="3" t="s">
        <v>0</v>
      </c>
      <c r="E5" s="3" t="s">
        <v>138</v>
      </c>
      <c r="F5" s="3" t="s">
        <v>0</v>
      </c>
      <c r="G5" s="3" t="s">
        <v>138</v>
      </c>
      <c r="H5" s="3" t="s">
        <v>0</v>
      </c>
      <c r="I5" s="3" t="s">
        <v>138</v>
      </c>
      <c r="J5" s="3" t="s">
        <v>0</v>
      </c>
      <c r="K5" s="3" t="s">
        <v>138</v>
      </c>
      <c r="L5" s="3" t="s">
        <v>0</v>
      </c>
      <c r="M5" s="3" t="s">
        <v>138</v>
      </c>
      <c r="N5" s="3" t="s">
        <v>0</v>
      </c>
      <c r="O5" s="3" t="s">
        <v>138</v>
      </c>
      <c r="P5" s="3" t="s">
        <v>0</v>
      </c>
      <c r="Q5" s="96"/>
      <c r="T5" s="103" t="s">
        <v>167</v>
      </c>
      <c r="U5" s="222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24"/>
      <c r="AH5" s="5" t="s">
        <v>63</v>
      </c>
      <c r="AI5" s="103" t="s">
        <v>2</v>
      </c>
      <c r="AJ5" s="116">
        <v>32.799999999999997</v>
      </c>
      <c r="AK5" s="116">
        <v>0.81</v>
      </c>
      <c r="AL5" s="116">
        <v>54.17</v>
      </c>
      <c r="AM5" s="116">
        <v>0.78</v>
      </c>
      <c r="AN5" s="116">
        <v>69.17</v>
      </c>
      <c r="AO5" s="116">
        <v>1.03</v>
      </c>
      <c r="AP5" s="116">
        <v>3.55</v>
      </c>
      <c r="AQ5" s="116">
        <v>0.79</v>
      </c>
      <c r="AR5" s="116">
        <v>3.54</v>
      </c>
      <c r="AS5" s="116">
        <v>0.71</v>
      </c>
      <c r="AT5" s="116">
        <v>40.57</v>
      </c>
      <c r="AU5" s="116">
        <v>0.88</v>
      </c>
      <c r="AV5" s="116">
        <v>203.8</v>
      </c>
      <c r="AW5" s="117">
        <v>0.88</v>
      </c>
    </row>
    <row r="6" spans="3:49" ht="40.5" x14ac:dyDescent="0.3">
      <c r="C6" s="99" t="s">
        <v>1</v>
      </c>
      <c r="D6" s="100">
        <v>3443.58</v>
      </c>
      <c r="E6" s="120">
        <v>92.57</v>
      </c>
      <c r="F6" s="100">
        <v>5506.25</v>
      </c>
      <c r="G6" s="120">
        <v>91.48</v>
      </c>
      <c r="H6" s="100">
        <v>5255.5</v>
      </c>
      <c r="I6" s="120">
        <v>94.49</v>
      </c>
      <c r="J6" s="120">
        <v>395.21</v>
      </c>
      <c r="K6" s="120">
        <v>96.27</v>
      </c>
      <c r="L6" s="120">
        <v>429.38</v>
      </c>
      <c r="M6" s="120">
        <v>92.67</v>
      </c>
      <c r="N6" s="100">
        <v>4005.27</v>
      </c>
      <c r="O6" s="120">
        <v>92.43</v>
      </c>
      <c r="P6" s="100">
        <v>19035.189999999999</v>
      </c>
      <c r="Q6" s="121">
        <v>92.82</v>
      </c>
      <c r="T6" s="103" t="s">
        <v>29</v>
      </c>
      <c r="U6" s="124" t="s">
        <v>56</v>
      </c>
      <c r="V6" s="123">
        <v>0.05</v>
      </c>
      <c r="W6" s="123">
        <v>4.51</v>
      </c>
      <c r="X6" s="123">
        <v>0.48</v>
      </c>
      <c r="Y6" s="123">
        <v>4.47</v>
      </c>
      <c r="Z6" s="123">
        <v>1.01</v>
      </c>
      <c r="AA6" s="123">
        <v>4.4800000000000004</v>
      </c>
      <c r="AB6" s="123">
        <v>1.57</v>
      </c>
      <c r="AC6" s="123">
        <v>4.47</v>
      </c>
      <c r="AD6" s="123">
        <v>2.2000000000000002</v>
      </c>
      <c r="AE6" s="123">
        <v>4.49</v>
      </c>
      <c r="AF6" s="123">
        <v>1.01</v>
      </c>
      <c r="AG6" s="122">
        <v>4.4800000000000004</v>
      </c>
      <c r="AH6" s="5" t="s">
        <v>65</v>
      </c>
      <c r="AI6" s="103" t="s">
        <v>3</v>
      </c>
      <c r="AJ6" s="116">
        <v>32.799999999999997</v>
      </c>
      <c r="AK6" s="116">
        <v>0.81</v>
      </c>
      <c r="AL6" s="116">
        <v>54.17</v>
      </c>
      <c r="AM6" s="116">
        <v>0.78</v>
      </c>
      <c r="AN6" s="116">
        <v>69.17</v>
      </c>
      <c r="AO6" s="116">
        <v>1.03</v>
      </c>
      <c r="AP6" s="116">
        <v>3.55</v>
      </c>
      <c r="AQ6" s="116">
        <v>0.79</v>
      </c>
      <c r="AR6" s="116">
        <v>3.54</v>
      </c>
      <c r="AS6" s="116">
        <v>0.71</v>
      </c>
      <c r="AT6" s="116">
        <v>40.57</v>
      </c>
      <c r="AU6" s="116">
        <v>0.88</v>
      </c>
      <c r="AV6" s="116">
        <v>203.8</v>
      </c>
      <c r="AW6" s="117">
        <v>0.88</v>
      </c>
    </row>
    <row r="7" spans="3:49" ht="40.5" x14ac:dyDescent="0.3">
      <c r="C7" s="103" t="s">
        <v>2</v>
      </c>
      <c r="D7" s="123">
        <v>32.619999999999997</v>
      </c>
      <c r="E7" s="123">
        <v>0.88</v>
      </c>
      <c r="F7" s="123">
        <v>60.71</v>
      </c>
      <c r="G7" s="123">
        <v>1.01</v>
      </c>
      <c r="H7" s="123">
        <v>69.459999999999994</v>
      </c>
      <c r="I7" s="123">
        <v>1.25</v>
      </c>
      <c r="J7" s="123">
        <v>3.87</v>
      </c>
      <c r="K7" s="123">
        <v>0.94</v>
      </c>
      <c r="L7" s="123">
        <v>3.83</v>
      </c>
      <c r="M7" s="123">
        <v>0.83</v>
      </c>
      <c r="N7" s="123">
        <v>41.08</v>
      </c>
      <c r="O7" s="123">
        <v>0.95</v>
      </c>
      <c r="P7" s="123">
        <v>211.57</v>
      </c>
      <c r="Q7" s="122">
        <v>1.03</v>
      </c>
      <c r="T7" s="103" t="s">
        <v>41</v>
      </c>
      <c r="U7" s="124" t="s">
        <v>56</v>
      </c>
      <c r="V7" s="123">
        <v>0</v>
      </c>
      <c r="W7" s="123">
        <v>6.15</v>
      </c>
      <c r="X7" s="123">
        <v>0</v>
      </c>
      <c r="Y7" s="123">
        <v>6.15</v>
      </c>
      <c r="Z7" s="123">
        <v>0</v>
      </c>
      <c r="AA7" s="123">
        <v>6.15</v>
      </c>
      <c r="AB7" s="123">
        <v>0</v>
      </c>
      <c r="AC7" s="123">
        <v>6.15</v>
      </c>
      <c r="AD7" s="123">
        <v>0.02</v>
      </c>
      <c r="AE7" s="123">
        <v>6.99</v>
      </c>
      <c r="AF7" s="123">
        <v>0</v>
      </c>
      <c r="AG7" s="122">
        <v>6.69</v>
      </c>
      <c r="AH7" s="5" t="s">
        <v>65</v>
      </c>
      <c r="AI7" s="103" t="s">
        <v>168</v>
      </c>
      <c r="AJ7" s="116" t="s">
        <v>139</v>
      </c>
      <c r="AK7" s="116" t="s">
        <v>139</v>
      </c>
      <c r="AL7" s="116" t="s">
        <v>139</v>
      </c>
      <c r="AM7" s="116" t="s">
        <v>139</v>
      </c>
      <c r="AN7" s="116" t="s">
        <v>139</v>
      </c>
      <c r="AO7" s="116" t="s">
        <v>139</v>
      </c>
      <c r="AP7" s="116" t="s">
        <v>139</v>
      </c>
      <c r="AQ7" s="116" t="s">
        <v>139</v>
      </c>
      <c r="AR7" s="116" t="s">
        <v>139</v>
      </c>
      <c r="AS7" s="116" t="s">
        <v>139</v>
      </c>
      <c r="AT7" s="116" t="s">
        <v>139</v>
      </c>
      <c r="AU7" s="116" t="s">
        <v>139</v>
      </c>
      <c r="AV7" s="116" t="s">
        <v>139</v>
      </c>
      <c r="AW7" s="117" t="s">
        <v>139</v>
      </c>
    </row>
    <row r="8" spans="3:49" ht="15.75" x14ac:dyDescent="0.3">
      <c r="C8" s="103" t="s">
        <v>3</v>
      </c>
      <c r="D8" s="123">
        <v>32.619999999999997</v>
      </c>
      <c r="E8" s="123">
        <v>0.88</v>
      </c>
      <c r="F8" s="123">
        <v>60.71</v>
      </c>
      <c r="G8" s="123">
        <v>1.01</v>
      </c>
      <c r="H8" s="123">
        <v>69.459999999999994</v>
      </c>
      <c r="I8" s="123">
        <v>1.25</v>
      </c>
      <c r="J8" s="123">
        <v>3.87</v>
      </c>
      <c r="K8" s="123">
        <v>0.94</v>
      </c>
      <c r="L8" s="123">
        <v>3.83</v>
      </c>
      <c r="M8" s="123">
        <v>0.83</v>
      </c>
      <c r="N8" s="123">
        <v>41.08</v>
      </c>
      <c r="O8" s="123">
        <v>0.95</v>
      </c>
      <c r="P8" s="123">
        <v>211.57</v>
      </c>
      <c r="Q8" s="122">
        <v>1.03</v>
      </c>
      <c r="T8" s="103" t="s">
        <v>41</v>
      </c>
      <c r="U8" s="124" t="s">
        <v>58</v>
      </c>
      <c r="V8" s="123">
        <v>0.02</v>
      </c>
      <c r="W8" s="123">
        <v>4.05</v>
      </c>
      <c r="X8" s="123">
        <v>0.02</v>
      </c>
      <c r="Y8" s="123">
        <v>4.13</v>
      </c>
      <c r="Z8" s="123">
        <v>0.04</v>
      </c>
      <c r="AA8" s="123">
        <v>4.5599999999999996</v>
      </c>
      <c r="AB8" s="123">
        <v>0.03</v>
      </c>
      <c r="AC8" s="123">
        <v>4.28</v>
      </c>
      <c r="AD8" s="123">
        <v>0.02</v>
      </c>
      <c r="AE8" s="123">
        <v>3.64</v>
      </c>
      <c r="AF8" s="123">
        <v>0.03</v>
      </c>
      <c r="AG8" s="122">
        <v>4.3</v>
      </c>
      <c r="AH8" s="5" t="s">
        <v>65</v>
      </c>
      <c r="AI8" s="103" t="s">
        <v>4</v>
      </c>
      <c r="AJ8" s="97">
        <v>3690.33</v>
      </c>
      <c r="AK8" s="116">
        <v>91.4</v>
      </c>
      <c r="AL8" s="97">
        <v>6237.33</v>
      </c>
      <c r="AM8" s="116">
        <v>89.66</v>
      </c>
      <c r="AN8" s="97">
        <v>6272.55</v>
      </c>
      <c r="AO8" s="116">
        <v>93.7</v>
      </c>
      <c r="AP8" s="116">
        <v>429.73</v>
      </c>
      <c r="AQ8" s="116">
        <v>95.7</v>
      </c>
      <c r="AR8" s="116">
        <v>458.75</v>
      </c>
      <c r="AS8" s="116">
        <v>92.01</v>
      </c>
      <c r="AT8" s="97">
        <v>4267.59</v>
      </c>
      <c r="AU8" s="116">
        <v>92.62</v>
      </c>
      <c r="AV8" s="97">
        <v>21356.28</v>
      </c>
      <c r="AW8" s="117">
        <v>91.88</v>
      </c>
    </row>
    <row r="9" spans="3:49" ht="40.5" x14ac:dyDescent="0.3">
      <c r="C9" s="103" t="s">
        <v>168</v>
      </c>
      <c r="D9" s="123" t="s">
        <v>139</v>
      </c>
      <c r="E9" s="123" t="s">
        <v>139</v>
      </c>
      <c r="F9" s="123" t="s">
        <v>139</v>
      </c>
      <c r="G9" s="123" t="s">
        <v>139</v>
      </c>
      <c r="H9" s="123" t="s">
        <v>139</v>
      </c>
      <c r="I9" s="123" t="s">
        <v>139</v>
      </c>
      <c r="J9" s="123" t="s">
        <v>139</v>
      </c>
      <c r="K9" s="123" t="s">
        <v>139</v>
      </c>
      <c r="L9" s="123" t="s">
        <v>139</v>
      </c>
      <c r="M9" s="123" t="s">
        <v>139</v>
      </c>
      <c r="N9" s="123" t="s">
        <v>139</v>
      </c>
      <c r="O9" s="123" t="s">
        <v>139</v>
      </c>
      <c r="P9" s="123" t="s">
        <v>139</v>
      </c>
      <c r="Q9" s="122" t="s">
        <v>139</v>
      </c>
      <c r="T9" s="103" t="s">
        <v>30</v>
      </c>
      <c r="U9" s="124" t="s">
        <v>58</v>
      </c>
      <c r="V9" s="123">
        <v>0.22</v>
      </c>
      <c r="W9" s="123">
        <v>1.82</v>
      </c>
      <c r="X9" s="123">
        <v>2.67</v>
      </c>
      <c r="Y9" s="123">
        <v>1.5</v>
      </c>
      <c r="Z9" s="123">
        <v>4.3899999999999997</v>
      </c>
      <c r="AA9" s="123">
        <v>1.63</v>
      </c>
      <c r="AB9" s="123">
        <v>6.53</v>
      </c>
      <c r="AC9" s="123">
        <v>1.54</v>
      </c>
      <c r="AD9" s="123">
        <v>9.89</v>
      </c>
      <c r="AE9" s="123">
        <v>1.52</v>
      </c>
      <c r="AF9" s="123">
        <v>4.5</v>
      </c>
      <c r="AG9" s="122">
        <v>1.56</v>
      </c>
      <c r="AH9" s="5" t="s">
        <v>67</v>
      </c>
      <c r="AI9" s="103" t="s">
        <v>5</v>
      </c>
      <c r="AJ9" s="116">
        <v>539.52</v>
      </c>
      <c r="AK9" s="116">
        <v>13.36</v>
      </c>
      <c r="AL9" s="97">
        <v>1013.24</v>
      </c>
      <c r="AM9" s="116">
        <v>14.56</v>
      </c>
      <c r="AN9" s="116">
        <v>829.58</v>
      </c>
      <c r="AO9" s="116">
        <v>12.39</v>
      </c>
      <c r="AP9" s="116">
        <v>126.38</v>
      </c>
      <c r="AQ9" s="116">
        <v>28.15</v>
      </c>
      <c r="AR9" s="116">
        <v>67.290000000000006</v>
      </c>
      <c r="AS9" s="116">
        <v>13.5</v>
      </c>
      <c r="AT9" s="116">
        <v>464.24</v>
      </c>
      <c r="AU9" s="116">
        <v>10.08</v>
      </c>
      <c r="AV9" s="97">
        <v>3040.25</v>
      </c>
      <c r="AW9" s="117">
        <v>13.08</v>
      </c>
    </row>
    <row r="10" spans="3:49" ht="27" x14ac:dyDescent="0.3">
      <c r="C10" s="103" t="s">
        <v>4</v>
      </c>
      <c r="D10" s="97">
        <v>3395.65</v>
      </c>
      <c r="E10" s="123">
        <v>91.28</v>
      </c>
      <c r="F10" s="97">
        <v>5452.8</v>
      </c>
      <c r="G10" s="123">
        <v>90.6</v>
      </c>
      <c r="H10" s="97">
        <v>5180.58</v>
      </c>
      <c r="I10" s="123">
        <v>93.15</v>
      </c>
      <c r="J10" s="123">
        <v>390.97</v>
      </c>
      <c r="K10" s="123">
        <v>95.24</v>
      </c>
      <c r="L10" s="123">
        <v>425.34</v>
      </c>
      <c r="M10" s="123">
        <v>91.8</v>
      </c>
      <c r="N10" s="97">
        <v>3969.46</v>
      </c>
      <c r="O10" s="123">
        <v>91.6</v>
      </c>
      <c r="P10" s="97">
        <v>18814.8</v>
      </c>
      <c r="Q10" s="122">
        <v>91.75</v>
      </c>
      <c r="T10" s="103" t="s">
        <v>126</v>
      </c>
      <c r="U10" s="124" t="s">
        <v>166</v>
      </c>
      <c r="V10" s="123" t="s">
        <v>139</v>
      </c>
      <c r="W10" s="123" t="s">
        <v>139</v>
      </c>
      <c r="X10" s="123" t="s">
        <v>139</v>
      </c>
      <c r="Y10" s="123" t="s">
        <v>139</v>
      </c>
      <c r="Z10" s="123">
        <v>0</v>
      </c>
      <c r="AA10" s="123">
        <v>1.71</v>
      </c>
      <c r="AB10" s="123">
        <v>0.01</v>
      </c>
      <c r="AC10" s="123">
        <v>1.71</v>
      </c>
      <c r="AD10" s="123">
        <v>0.01</v>
      </c>
      <c r="AE10" s="123">
        <v>1.71</v>
      </c>
      <c r="AF10" s="123">
        <v>0</v>
      </c>
      <c r="AG10" s="122">
        <v>1.71</v>
      </c>
      <c r="AH10" s="5" t="s">
        <v>127</v>
      </c>
      <c r="AI10" s="103" t="s">
        <v>6</v>
      </c>
      <c r="AJ10" s="97">
        <v>1400.24</v>
      </c>
      <c r="AK10" s="116">
        <v>34.68</v>
      </c>
      <c r="AL10" s="97">
        <v>1994.85</v>
      </c>
      <c r="AM10" s="116">
        <v>28.67</v>
      </c>
      <c r="AN10" s="97">
        <v>1925.89</v>
      </c>
      <c r="AO10" s="116">
        <v>28.77</v>
      </c>
      <c r="AP10" s="116">
        <v>119.16</v>
      </c>
      <c r="AQ10" s="116">
        <v>26.54</v>
      </c>
      <c r="AR10" s="116">
        <v>161.52000000000001</v>
      </c>
      <c r="AS10" s="116">
        <v>32.4</v>
      </c>
      <c r="AT10" s="97">
        <v>2032.56</v>
      </c>
      <c r="AU10" s="116">
        <v>44.11</v>
      </c>
      <c r="AV10" s="97">
        <v>7634.21</v>
      </c>
      <c r="AW10" s="117">
        <v>32.840000000000003</v>
      </c>
    </row>
    <row r="11" spans="3:49" ht="40.5" x14ac:dyDescent="0.25">
      <c r="C11" s="103" t="s">
        <v>5</v>
      </c>
      <c r="D11" s="123">
        <v>475.25</v>
      </c>
      <c r="E11" s="123">
        <v>12.78</v>
      </c>
      <c r="F11" s="123">
        <v>824.82</v>
      </c>
      <c r="G11" s="123">
        <v>13.7</v>
      </c>
      <c r="H11" s="123">
        <v>583.6</v>
      </c>
      <c r="I11" s="123">
        <v>10.49</v>
      </c>
      <c r="J11" s="123">
        <v>100.85</v>
      </c>
      <c r="K11" s="123">
        <v>24.57</v>
      </c>
      <c r="L11" s="123">
        <v>68.069999999999993</v>
      </c>
      <c r="M11" s="123">
        <v>14.69</v>
      </c>
      <c r="N11" s="123">
        <v>434.73</v>
      </c>
      <c r="O11" s="123">
        <v>10.029999999999999</v>
      </c>
      <c r="P11" s="97">
        <v>2487.3200000000002</v>
      </c>
      <c r="Q11" s="122">
        <v>12.13</v>
      </c>
      <c r="T11" s="103" t="s">
        <v>126</v>
      </c>
      <c r="U11" s="124" t="s">
        <v>56</v>
      </c>
      <c r="V11" s="123" t="s">
        <v>139</v>
      </c>
      <c r="W11" s="123" t="s">
        <v>139</v>
      </c>
      <c r="X11" s="123" t="s">
        <v>139</v>
      </c>
      <c r="Y11" s="123" t="s">
        <v>139</v>
      </c>
      <c r="Z11" s="123">
        <v>0.01</v>
      </c>
      <c r="AA11" s="123">
        <v>4.71</v>
      </c>
      <c r="AB11" s="123" t="s">
        <v>139</v>
      </c>
      <c r="AC11" s="123" t="s">
        <v>139</v>
      </c>
      <c r="AD11" s="123">
        <v>0</v>
      </c>
      <c r="AE11" s="123">
        <v>4.71</v>
      </c>
      <c r="AF11" s="123">
        <v>0</v>
      </c>
      <c r="AG11" s="122">
        <v>4.71</v>
      </c>
      <c r="AI11" s="103" t="s">
        <v>7</v>
      </c>
      <c r="AJ11" s="116">
        <v>2.63</v>
      </c>
      <c r="AK11" s="116">
        <v>7.0000000000000007E-2</v>
      </c>
      <c r="AL11" s="116">
        <v>31.34</v>
      </c>
      <c r="AM11" s="116">
        <v>0.45</v>
      </c>
      <c r="AN11" s="116" t="s">
        <v>139</v>
      </c>
      <c r="AO11" s="116" t="s">
        <v>139</v>
      </c>
      <c r="AP11" s="116">
        <v>21.59</v>
      </c>
      <c r="AQ11" s="116">
        <v>4.8099999999999996</v>
      </c>
      <c r="AR11" s="116">
        <v>1.42</v>
      </c>
      <c r="AS11" s="116">
        <v>0.28000000000000003</v>
      </c>
      <c r="AT11" s="116">
        <v>2.13</v>
      </c>
      <c r="AU11" s="116">
        <v>0.05</v>
      </c>
      <c r="AV11" s="116">
        <v>59.11</v>
      </c>
      <c r="AW11" s="117">
        <v>0.25</v>
      </c>
    </row>
    <row r="12" spans="3:49" ht="54" x14ac:dyDescent="0.25">
      <c r="C12" s="103" t="s">
        <v>6</v>
      </c>
      <c r="D12" s="97">
        <v>1349.93</v>
      </c>
      <c r="E12" s="123">
        <v>36.29</v>
      </c>
      <c r="F12" s="97">
        <v>1804.38</v>
      </c>
      <c r="G12" s="123">
        <v>29.98</v>
      </c>
      <c r="H12" s="97">
        <v>1622.22</v>
      </c>
      <c r="I12" s="123">
        <v>29.17</v>
      </c>
      <c r="J12" s="123">
        <v>120.79</v>
      </c>
      <c r="K12" s="123">
        <v>29.42</v>
      </c>
      <c r="L12" s="123">
        <v>163.62</v>
      </c>
      <c r="M12" s="123">
        <v>35.31</v>
      </c>
      <c r="N12" s="97">
        <v>1988</v>
      </c>
      <c r="O12" s="123">
        <v>45.88</v>
      </c>
      <c r="P12" s="97">
        <v>7048.93</v>
      </c>
      <c r="Q12" s="122">
        <v>34.369999999999997</v>
      </c>
      <c r="T12" s="103" t="s">
        <v>126</v>
      </c>
      <c r="U12" s="124" t="s">
        <v>57</v>
      </c>
      <c r="V12" s="123" t="s">
        <v>139</v>
      </c>
      <c r="W12" s="123" t="s">
        <v>139</v>
      </c>
      <c r="X12" s="123" t="s">
        <v>139</v>
      </c>
      <c r="Y12" s="123" t="s">
        <v>139</v>
      </c>
      <c r="Z12" s="123">
        <v>0.05</v>
      </c>
      <c r="AA12" s="123">
        <v>3.1</v>
      </c>
      <c r="AB12" s="123">
        <v>0.06</v>
      </c>
      <c r="AC12" s="123">
        <v>3.02</v>
      </c>
      <c r="AD12" s="123">
        <v>7.0000000000000007E-2</v>
      </c>
      <c r="AE12" s="123">
        <v>3.03</v>
      </c>
      <c r="AF12" s="123">
        <v>0.04</v>
      </c>
      <c r="AG12" s="122">
        <v>3.06</v>
      </c>
      <c r="AI12" s="103" t="s">
        <v>106</v>
      </c>
      <c r="AJ12" s="116">
        <v>378.74</v>
      </c>
      <c r="AK12" s="116">
        <v>9.3800000000000008</v>
      </c>
      <c r="AL12" s="116">
        <v>631.42999999999995</v>
      </c>
      <c r="AM12" s="116">
        <v>9.08</v>
      </c>
      <c r="AN12" s="116">
        <v>711.61</v>
      </c>
      <c r="AO12" s="116">
        <v>10.63</v>
      </c>
      <c r="AP12" s="116">
        <v>68.56</v>
      </c>
      <c r="AQ12" s="116">
        <v>15.27</v>
      </c>
      <c r="AR12" s="116">
        <v>36.25</v>
      </c>
      <c r="AS12" s="116">
        <v>7.27</v>
      </c>
      <c r="AT12" s="116">
        <v>404.55</v>
      </c>
      <c r="AU12" s="116">
        <v>8.7799999999999994</v>
      </c>
      <c r="AV12" s="97">
        <v>2231.14</v>
      </c>
      <c r="AW12" s="117">
        <v>9.6</v>
      </c>
    </row>
    <row r="13" spans="3:49" ht="40.5" x14ac:dyDescent="0.25">
      <c r="C13" s="103" t="s">
        <v>7</v>
      </c>
      <c r="D13" s="123">
        <v>2.34</v>
      </c>
      <c r="E13" s="123">
        <v>0.06</v>
      </c>
      <c r="F13" s="123">
        <v>31.7</v>
      </c>
      <c r="G13" s="123">
        <v>0.53</v>
      </c>
      <c r="H13" s="123" t="s">
        <v>139</v>
      </c>
      <c r="I13" s="123" t="s">
        <v>139</v>
      </c>
      <c r="J13" s="123">
        <v>24.74</v>
      </c>
      <c r="K13" s="123">
        <v>6.03</v>
      </c>
      <c r="L13" s="123">
        <v>1.39</v>
      </c>
      <c r="M13" s="123">
        <v>0.3</v>
      </c>
      <c r="N13" s="123">
        <v>2.04</v>
      </c>
      <c r="O13" s="123">
        <v>0.05</v>
      </c>
      <c r="P13" s="123">
        <v>62.21</v>
      </c>
      <c r="Q13" s="122">
        <v>0.3</v>
      </c>
      <c r="T13" s="103" t="s">
        <v>44</v>
      </c>
      <c r="U13" s="124" t="s">
        <v>56</v>
      </c>
      <c r="V13" s="123">
        <v>0</v>
      </c>
      <c r="W13" s="123">
        <v>5.69</v>
      </c>
      <c r="X13" s="123">
        <v>0.06</v>
      </c>
      <c r="Y13" s="123">
        <v>5.7</v>
      </c>
      <c r="Z13" s="123">
        <v>0.08</v>
      </c>
      <c r="AA13" s="123">
        <v>5.81</v>
      </c>
      <c r="AB13" s="123">
        <v>0.08</v>
      </c>
      <c r="AC13" s="123">
        <v>5.77</v>
      </c>
      <c r="AD13" s="123">
        <v>0.13</v>
      </c>
      <c r="AE13" s="123">
        <v>5.83</v>
      </c>
      <c r="AF13" s="123">
        <v>7.0000000000000007E-2</v>
      </c>
      <c r="AG13" s="122">
        <v>5.79</v>
      </c>
      <c r="AI13" s="103" t="s">
        <v>8</v>
      </c>
      <c r="AJ13" s="116">
        <v>572.79999999999995</v>
      </c>
      <c r="AK13" s="116">
        <v>14.19</v>
      </c>
      <c r="AL13" s="97">
        <v>1004.99</v>
      </c>
      <c r="AM13" s="116">
        <v>14.45</v>
      </c>
      <c r="AN13" s="97">
        <v>1057.33</v>
      </c>
      <c r="AO13" s="116">
        <v>15.79</v>
      </c>
      <c r="AP13" s="116">
        <v>44.94</v>
      </c>
      <c r="AQ13" s="116">
        <v>10.01</v>
      </c>
      <c r="AR13" s="116">
        <v>70.62</v>
      </c>
      <c r="AS13" s="116">
        <v>14.17</v>
      </c>
      <c r="AT13" s="116">
        <v>756.34</v>
      </c>
      <c r="AU13" s="116">
        <v>16.41</v>
      </c>
      <c r="AV13" s="97">
        <v>3507.02</v>
      </c>
      <c r="AW13" s="117">
        <v>15.09</v>
      </c>
    </row>
    <row r="14" spans="3:49" ht="54" x14ac:dyDescent="0.25">
      <c r="C14" s="103" t="s">
        <v>106</v>
      </c>
      <c r="D14" s="123">
        <v>359.97</v>
      </c>
      <c r="E14" s="123">
        <v>9.68</v>
      </c>
      <c r="F14" s="123">
        <v>616.24</v>
      </c>
      <c r="G14" s="123">
        <v>10.24</v>
      </c>
      <c r="H14" s="123">
        <v>702.96</v>
      </c>
      <c r="I14" s="123">
        <v>12.64</v>
      </c>
      <c r="J14" s="123">
        <v>69.97</v>
      </c>
      <c r="K14" s="123">
        <v>17.04</v>
      </c>
      <c r="L14" s="123">
        <v>35.619999999999997</v>
      </c>
      <c r="M14" s="123">
        <v>7.69</v>
      </c>
      <c r="N14" s="123">
        <v>403.03</v>
      </c>
      <c r="O14" s="123">
        <v>9.3000000000000007</v>
      </c>
      <c r="P14" s="97">
        <v>2187.8000000000002</v>
      </c>
      <c r="Q14" s="122">
        <v>10.67</v>
      </c>
      <c r="T14" s="103" t="s">
        <v>44</v>
      </c>
      <c r="U14" s="124" t="s">
        <v>58</v>
      </c>
      <c r="V14" s="123">
        <v>1.29</v>
      </c>
      <c r="W14" s="123">
        <v>2.95</v>
      </c>
      <c r="X14" s="123">
        <v>4.47</v>
      </c>
      <c r="Y14" s="123">
        <v>2.89</v>
      </c>
      <c r="Z14" s="123">
        <v>8.39</v>
      </c>
      <c r="AA14" s="123">
        <v>2.88</v>
      </c>
      <c r="AB14" s="123">
        <v>10.52</v>
      </c>
      <c r="AC14" s="123">
        <v>2.87</v>
      </c>
      <c r="AD14" s="123">
        <v>13.61</v>
      </c>
      <c r="AE14" s="123">
        <v>2.9</v>
      </c>
      <c r="AF14" s="123">
        <v>7.61</v>
      </c>
      <c r="AG14" s="122">
        <v>2.88</v>
      </c>
      <c r="AI14" s="103" t="s">
        <v>9</v>
      </c>
      <c r="AJ14" s="116">
        <v>16.32</v>
      </c>
      <c r="AK14" s="116">
        <v>0.4</v>
      </c>
      <c r="AL14" s="116">
        <v>35.729999999999997</v>
      </c>
      <c r="AM14" s="116">
        <v>0.51</v>
      </c>
      <c r="AN14" s="116">
        <v>10.38</v>
      </c>
      <c r="AO14" s="116">
        <v>0.16</v>
      </c>
      <c r="AP14" s="116">
        <v>16.84</v>
      </c>
      <c r="AQ14" s="116">
        <v>3.75</v>
      </c>
      <c r="AR14" s="116">
        <v>1.23</v>
      </c>
      <c r="AS14" s="116">
        <v>0.25</v>
      </c>
      <c r="AT14" s="116">
        <v>34.35</v>
      </c>
      <c r="AU14" s="116">
        <v>0.75</v>
      </c>
      <c r="AV14" s="116">
        <v>114.85</v>
      </c>
      <c r="AW14" s="117">
        <v>0.49</v>
      </c>
    </row>
    <row r="15" spans="3:49" ht="27" x14ac:dyDescent="0.25">
      <c r="C15" s="103" t="s">
        <v>8</v>
      </c>
      <c r="D15" s="123">
        <v>559.54</v>
      </c>
      <c r="E15" s="123">
        <v>15.04</v>
      </c>
      <c r="F15" s="97">
        <v>1004.37</v>
      </c>
      <c r="G15" s="123">
        <v>16.690000000000001</v>
      </c>
      <c r="H15" s="97">
        <v>1050.1600000000001</v>
      </c>
      <c r="I15" s="123">
        <v>18.88</v>
      </c>
      <c r="J15" s="123">
        <v>51.42</v>
      </c>
      <c r="K15" s="123">
        <v>12.53</v>
      </c>
      <c r="L15" s="123">
        <v>72.75</v>
      </c>
      <c r="M15" s="123">
        <v>15.7</v>
      </c>
      <c r="N15" s="123">
        <v>774.52</v>
      </c>
      <c r="O15" s="123">
        <v>17.87</v>
      </c>
      <c r="P15" s="97">
        <v>3512.76</v>
      </c>
      <c r="Q15" s="122">
        <v>17.13</v>
      </c>
      <c r="T15" s="103" t="s">
        <v>44</v>
      </c>
      <c r="U15" s="124" t="s">
        <v>57</v>
      </c>
      <c r="V15" s="123" t="s">
        <v>139</v>
      </c>
      <c r="W15" s="123" t="s">
        <v>139</v>
      </c>
      <c r="X15" s="123">
        <v>0.02</v>
      </c>
      <c r="Y15" s="123">
        <v>2.58</v>
      </c>
      <c r="Z15" s="123">
        <v>0.23</v>
      </c>
      <c r="AA15" s="123">
        <v>3.21</v>
      </c>
      <c r="AB15" s="123">
        <v>0.33</v>
      </c>
      <c r="AC15" s="123">
        <v>2.96</v>
      </c>
      <c r="AD15" s="123">
        <v>0.56999999999999995</v>
      </c>
      <c r="AE15" s="123">
        <v>2.99</v>
      </c>
      <c r="AF15" s="123">
        <v>0.22</v>
      </c>
      <c r="AG15" s="122">
        <v>3.06</v>
      </c>
      <c r="AI15" s="103" t="s">
        <v>10</v>
      </c>
      <c r="AJ15" s="116">
        <v>777.2</v>
      </c>
      <c r="AK15" s="116">
        <v>19.25</v>
      </c>
      <c r="AL15" s="97">
        <v>1513.85</v>
      </c>
      <c r="AM15" s="116">
        <v>21.76</v>
      </c>
      <c r="AN15" s="97">
        <v>1734.69</v>
      </c>
      <c r="AO15" s="116">
        <v>25.91</v>
      </c>
      <c r="AP15" s="116">
        <v>32.119999999999997</v>
      </c>
      <c r="AQ15" s="116">
        <v>7.15</v>
      </c>
      <c r="AR15" s="116">
        <v>120.09</v>
      </c>
      <c r="AS15" s="116">
        <v>24.09</v>
      </c>
      <c r="AT15" s="116">
        <v>570.41999999999996</v>
      </c>
      <c r="AU15" s="116">
        <v>12.38</v>
      </c>
      <c r="AV15" s="97">
        <v>4748.37</v>
      </c>
      <c r="AW15" s="117">
        <v>20.43</v>
      </c>
    </row>
    <row r="16" spans="3:49" ht="40.5" x14ac:dyDescent="0.25">
      <c r="C16" s="103" t="s">
        <v>9</v>
      </c>
      <c r="D16" s="123">
        <v>16.260000000000002</v>
      </c>
      <c r="E16" s="123">
        <v>0.44</v>
      </c>
      <c r="F16" s="123">
        <v>35.83</v>
      </c>
      <c r="G16" s="123">
        <v>0.6</v>
      </c>
      <c r="H16" s="123">
        <v>10.34</v>
      </c>
      <c r="I16" s="123">
        <v>0.19</v>
      </c>
      <c r="J16" s="123">
        <v>17.04</v>
      </c>
      <c r="K16" s="123">
        <v>4.1500000000000004</v>
      </c>
      <c r="L16" s="123">
        <v>1.24</v>
      </c>
      <c r="M16" s="123">
        <v>0.27</v>
      </c>
      <c r="N16" s="123">
        <v>34.39</v>
      </c>
      <c r="O16" s="123">
        <v>0.79</v>
      </c>
      <c r="P16" s="123">
        <v>115.11</v>
      </c>
      <c r="Q16" s="122">
        <v>0.56000000000000005</v>
      </c>
      <c r="T16" s="103" t="s">
        <v>152</v>
      </c>
      <c r="U16" s="124" t="s">
        <v>58</v>
      </c>
      <c r="V16" s="123">
        <v>0.03</v>
      </c>
      <c r="W16" s="123">
        <v>2.59</v>
      </c>
      <c r="X16" s="123">
        <v>0.03</v>
      </c>
      <c r="Y16" s="123">
        <v>2.59</v>
      </c>
      <c r="Z16" s="123">
        <v>0.14000000000000001</v>
      </c>
      <c r="AA16" s="123">
        <v>2.59</v>
      </c>
      <c r="AB16" s="123">
        <v>0.08</v>
      </c>
      <c r="AC16" s="123">
        <v>2.59</v>
      </c>
      <c r="AD16" s="123">
        <v>7.0000000000000007E-2</v>
      </c>
      <c r="AE16" s="123">
        <v>2.59</v>
      </c>
      <c r="AF16" s="123">
        <v>0.08</v>
      </c>
      <c r="AG16" s="122">
        <v>2.59</v>
      </c>
      <c r="AI16" s="103" t="s">
        <v>11</v>
      </c>
      <c r="AJ16" s="116" t="s">
        <v>139</v>
      </c>
      <c r="AK16" s="116" t="s">
        <v>139</v>
      </c>
      <c r="AL16" s="116">
        <v>3.09</v>
      </c>
      <c r="AM16" s="116">
        <v>0.04</v>
      </c>
      <c r="AN16" s="116">
        <v>0.95</v>
      </c>
      <c r="AO16" s="116">
        <v>0.01</v>
      </c>
      <c r="AP16" s="116" t="s">
        <v>139</v>
      </c>
      <c r="AQ16" s="116" t="s">
        <v>139</v>
      </c>
      <c r="AR16" s="116">
        <v>0.16</v>
      </c>
      <c r="AS16" s="116">
        <v>0.03</v>
      </c>
      <c r="AT16" s="116">
        <v>2.83</v>
      </c>
      <c r="AU16" s="116">
        <v>0.06</v>
      </c>
      <c r="AV16" s="116">
        <v>7.03</v>
      </c>
      <c r="AW16" s="117">
        <v>0.03</v>
      </c>
    </row>
    <row r="17" spans="3:49" ht="27" x14ac:dyDescent="0.25">
      <c r="C17" s="103" t="s">
        <v>10</v>
      </c>
      <c r="D17" s="123">
        <v>623.08000000000004</v>
      </c>
      <c r="E17" s="123">
        <v>16.75</v>
      </c>
      <c r="F17" s="97">
        <v>1121.29</v>
      </c>
      <c r="G17" s="123">
        <v>18.63</v>
      </c>
      <c r="H17" s="97">
        <v>1204.93</v>
      </c>
      <c r="I17" s="123">
        <v>21.66</v>
      </c>
      <c r="J17" s="123">
        <v>5.64</v>
      </c>
      <c r="K17" s="123">
        <v>1.37</v>
      </c>
      <c r="L17" s="123">
        <v>81.569999999999993</v>
      </c>
      <c r="M17" s="123">
        <v>17.600000000000001</v>
      </c>
      <c r="N17" s="123">
        <v>327.89</v>
      </c>
      <c r="O17" s="123">
        <v>7.57</v>
      </c>
      <c r="P17" s="97">
        <v>3364.4</v>
      </c>
      <c r="Q17" s="122">
        <v>16.41</v>
      </c>
      <c r="T17" s="103" t="s">
        <v>37</v>
      </c>
      <c r="U17" s="124" t="s">
        <v>145</v>
      </c>
      <c r="V17" s="123">
        <v>7.0000000000000007E-2</v>
      </c>
      <c r="W17" s="123">
        <v>2.67</v>
      </c>
      <c r="X17" s="123">
        <v>0.13</v>
      </c>
      <c r="Y17" s="123">
        <v>2.94</v>
      </c>
      <c r="Z17" s="123">
        <v>0.21</v>
      </c>
      <c r="AA17" s="123">
        <v>2.98</v>
      </c>
      <c r="AB17" s="123">
        <v>0.36</v>
      </c>
      <c r="AC17" s="123">
        <v>2.69</v>
      </c>
      <c r="AD17" s="123">
        <v>0.27</v>
      </c>
      <c r="AE17" s="123">
        <v>2.57</v>
      </c>
      <c r="AF17" s="123">
        <v>0.21</v>
      </c>
      <c r="AG17" s="122">
        <v>2.8</v>
      </c>
      <c r="AI17" s="103" t="s">
        <v>169</v>
      </c>
      <c r="AJ17" s="116">
        <v>2.88</v>
      </c>
      <c r="AK17" s="116">
        <v>7.0000000000000007E-2</v>
      </c>
      <c r="AL17" s="116">
        <v>8.82</v>
      </c>
      <c r="AM17" s="116">
        <v>0.13</v>
      </c>
      <c r="AN17" s="116">
        <v>2.12</v>
      </c>
      <c r="AO17" s="116">
        <v>0.03</v>
      </c>
      <c r="AP17" s="116">
        <v>0.15</v>
      </c>
      <c r="AQ17" s="116">
        <v>0.03</v>
      </c>
      <c r="AR17" s="116">
        <v>0.16</v>
      </c>
      <c r="AS17" s="116">
        <v>0.03</v>
      </c>
      <c r="AT17" s="116">
        <v>0.18</v>
      </c>
      <c r="AU17" s="116">
        <v>0</v>
      </c>
      <c r="AV17" s="116">
        <v>14.31</v>
      </c>
      <c r="AW17" s="117">
        <v>0.06</v>
      </c>
    </row>
    <row r="18" spans="3:49" ht="40.5" x14ac:dyDescent="0.25">
      <c r="C18" s="103" t="s">
        <v>11</v>
      </c>
      <c r="D18" s="123" t="s">
        <v>139</v>
      </c>
      <c r="E18" s="123" t="s">
        <v>139</v>
      </c>
      <c r="F18" s="123">
        <v>2.99</v>
      </c>
      <c r="G18" s="123">
        <v>0.05</v>
      </c>
      <c r="H18" s="123">
        <v>0.92</v>
      </c>
      <c r="I18" s="123">
        <v>0.02</v>
      </c>
      <c r="J18" s="123" t="s">
        <v>139</v>
      </c>
      <c r="K18" s="123" t="s">
        <v>139</v>
      </c>
      <c r="L18" s="123">
        <v>0.15</v>
      </c>
      <c r="M18" s="123">
        <v>0.03</v>
      </c>
      <c r="N18" s="123">
        <v>2.74</v>
      </c>
      <c r="O18" s="123">
        <v>0.06</v>
      </c>
      <c r="P18" s="123">
        <v>6.8</v>
      </c>
      <c r="Q18" s="122">
        <v>0.03</v>
      </c>
      <c r="T18" s="103" t="s">
        <v>45</v>
      </c>
      <c r="U18" s="124" t="s">
        <v>58</v>
      </c>
      <c r="V18" s="123">
        <v>0.56000000000000005</v>
      </c>
      <c r="W18" s="123">
        <v>3.55</v>
      </c>
      <c r="X18" s="123">
        <v>1.24</v>
      </c>
      <c r="Y18" s="123">
        <v>3.37</v>
      </c>
      <c r="Z18" s="123">
        <v>1.78</v>
      </c>
      <c r="AA18" s="123">
        <v>3.27</v>
      </c>
      <c r="AB18" s="123">
        <v>1.7</v>
      </c>
      <c r="AC18" s="123">
        <v>3.28</v>
      </c>
      <c r="AD18" s="123">
        <v>2.74</v>
      </c>
      <c r="AE18" s="123">
        <v>3.39</v>
      </c>
      <c r="AF18" s="123">
        <v>1.6</v>
      </c>
      <c r="AG18" s="122">
        <v>3.33</v>
      </c>
      <c r="AI18" s="103" t="s">
        <v>12</v>
      </c>
      <c r="AJ18" s="116">
        <v>11.74</v>
      </c>
      <c r="AK18" s="116">
        <v>0.28999999999999998</v>
      </c>
      <c r="AL18" s="116">
        <v>-15.54</v>
      </c>
      <c r="AM18" s="116">
        <v>-0.22</v>
      </c>
      <c r="AN18" s="116">
        <v>0.67</v>
      </c>
      <c r="AO18" s="116">
        <v>0.01</v>
      </c>
      <c r="AP18" s="116">
        <v>-0.03</v>
      </c>
      <c r="AQ18" s="116">
        <v>-0.01</v>
      </c>
      <c r="AR18" s="116">
        <v>-0.01</v>
      </c>
      <c r="AS18" s="116">
        <v>0</v>
      </c>
      <c r="AT18" s="116">
        <v>-8.75</v>
      </c>
      <c r="AU18" s="116">
        <v>-0.19</v>
      </c>
      <c r="AV18" s="116">
        <v>-11.92</v>
      </c>
      <c r="AW18" s="117">
        <v>-0.05</v>
      </c>
    </row>
    <row r="19" spans="3:49" ht="40.5" x14ac:dyDescent="0.25">
      <c r="C19" s="103" t="s">
        <v>169</v>
      </c>
      <c r="D19" s="123">
        <v>9.27</v>
      </c>
      <c r="E19" s="123">
        <v>0.25</v>
      </c>
      <c r="F19" s="123">
        <v>11.17</v>
      </c>
      <c r="G19" s="123">
        <v>0.19</v>
      </c>
      <c r="H19" s="123">
        <v>5.45</v>
      </c>
      <c r="I19" s="123">
        <v>0.1</v>
      </c>
      <c r="J19" s="123">
        <v>0.53</v>
      </c>
      <c r="K19" s="123">
        <v>0.13</v>
      </c>
      <c r="L19" s="123">
        <v>0.92</v>
      </c>
      <c r="M19" s="123">
        <v>0.2</v>
      </c>
      <c r="N19" s="123">
        <v>2.12</v>
      </c>
      <c r="O19" s="123">
        <v>0.05</v>
      </c>
      <c r="P19" s="123">
        <v>29.46</v>
      </c>
      <c r="Q19" s="122">
        <v>0.14000000000000001</v>
      </c>
      <c r="T19" s="103" t="s">
        <v>34</v>
      </c>
      <c r="U19" s="124" t="s">
        <v>56</v>
      </c>
      <c r="V19" s="123">
        <v>0.19</v>
      </c>
      <c r="W19" s="123">
        <v>4.76</v>
      </c>
      <c r="X19" s="123">
        <v>2.63</v>
      </c>
      <c r="Y19" s="123">
        <v>4.74</v>
      </c>
      <c r="Z19" s="123">
        <v>4.2300000000000004</v>
      </c>
      <c r="AA19" s="123">
        <v>4.8099999999999996</v>
      </c>
      <c r="AB19" s="123">
        <v>7.15</v>
      </c>
      <c r="AC19" s="123">
        <v>4.76</v>
      </c>
      <c r="AD19" s="123">
        <v>9.6</v>
      </c>
      <c r="AE19" s="123">
        <v>4.75</v>
      </c>
      <c r="AF19" s="123">
        <v>4.5</v>
      </c>
      <c r="AG19" s="122">
        <v>4.78</v>
      </c>
      <c r="AI19" s="103" t="s">
        <v>170</v>
      </c>
      <c r="AJ19" s="116">
        <v>0.64</v>
      </c>
      <c r="AK19" s="116">
        <v>0.02</v>
      </c>
      <c r="AL19" s="116">
        <v>0.28000000000000003</v>
      </c>
      <c r="AM19" s="116">
        <v>0</v>
      </c>
      <c r="AN19" s="116">
        <v>1.76</v>
      </c>
      <c r="AO19" s="116">
        <v>0.03</v>
      </c>
      <c r="AP19" s="116">
        <v>0.34</v>
      </c>
      <c r="AQ19" s="116">
        <v>0.08</v>
      </c>
      <c r="AR19" s="116">
        <v>0.11</v>
      </c>
      <c r="AS19" s="116">
        <v>0.02</v>
      </c>
      <c r="AT19" s="116">
        <v>0.16</v>
      </c>
      <c r="AU19" s="116">
        <v>0</v>
      </c>
      <c r="AV19" s="116">
        <v>3.29</v>
      </c>
      <c r="AW19" s="117">
        <v>0.01</v>
      </c>
    </row>
    <row r="20" spans="3:49" ht="40.5" x14ac:dyDescent="0.25">
      <c r="C20" s="103" t="s">
        <v>12</v>
      </c>
      <c r="D20" s="123">
        <v>14.57</v>
      </c>
      <c r="E20" s="123">
        <v>0.39</v>
      </c>
      <c r="F20" s="123">
        <v>-9.74</v>
      </c>
      <c r="G20" s="123">
        <v>-0.16</v>
      </c>
      <c r="H20" s="123">
        <v>2.13</v>
      </c>
      <c r="I20" s="123">
        <v>0.04</v>
      </c>
      <c r="J20" s="123">
        <v>-0.02</v>
      </c>
      <c r="K20" s="123">
        <v>-0.01</v>
      </c>
      <c r="L20" s="123">
        <v>-0.08</v>
      </c>
      <c r="M20" s="123">
        <v>-0.02</v>
      </c>
      <c r="N20" s="123">
        <v>-6.61</v>
      </c>
      <c r="O20" s="123">
        <v>-0.15</v>
      </c>
      <c r="P20" s="123">
        <v>0.25</v>
      </c>
      <c r="Q20" s="122">
        <v>0</v>
      </c>
      <c r="T20" s="103" t="s">
        <v>35</v>
      </c>
      <c r="U20" s="124" t="s">
        <v>58</v>
      </c>
      <c r="V20" s="123">
        <v>0.64</v>
      </c>
      <c r="W20" s="123">
        <v>1.88</v>
      </c>
      <c r="X20" s="123">
        <v>7.24</v>
      </c>
      <c r="Y20" s="123">
        <v>1.71</v>
      </c>
      <c r="Z20" s="123">
        <v>12.75</v>
      </c>
      <c r="AA20" s="123">
        <v>1.77</v>
      </c>
      <c r="AB20" s="123">
        <v>19.91</v>
      </c>
      <c r="AC20" s="123">
        <v>1.72</v>
      </c>
      <c r="AD20" s="123">
        <v>24.69</v>
      </c>
      <c r="AE20" s="123">
        <v>1.68</v>
      </c>
      <c r="AF20" s="123">
        <v>12.61</v>
      </c>
      <c r="AG20" s="122">
        <v>1.73</v>
      </c>
      <c r="AI20" s="105" t="s">
        <v>13</v>
      </c>
      <c r="AJ20" s="116">
        <v>302.20999999999998</v>
      </c>
      <c r="AK20" s="116">
        <v>7.48</v>
      </c>
      <c r="AL20" s="116">
        <v>680.63</v>
      </c>
      <c r="AM20" s="116">
        <v>9.7799999999999994</v>
      </c>
      <c r="AN20" s="116">
        <v>350.09</v>
      </c>
      <c r="AO20" s="116">
        <v>5.23</v>
      </c>
      <c r="AP20" s="116">
        <v>15.42</v>
      </c>
      <c r="AQ20" s="116">
        <v>3.43</v>
      </c>
      <c r="AR20" s="116">
        <v>36.17</v>
      </c>
      <c r="AS20" s="116">
        <v>7.25</v>
      </c>
      <c r="AT20" s="116">
        <v>308.14</v>
      </c>
      <c r="AU20" s="116">
        <v>6.69</v>
      </c>
      <c r="AV20" s="97">
        <v>1692.66</v>
      </c>
      <c r="AW20" s="117">
        <v>7.28</v>
      </c>
    </row>
    <row r="21" spans="3:49" ht="40.5" x14ac:dyDescent="0.25">
      <c r="C21" s="103" t="s">
        <v>170</v>
      </c>
      <c r="D21" s="123">
        <v>0.74</v>
      </c>
      <c r="E21" s="123">
        <v>0.02</v>
      </c>
      <c r="F21" s="123">
        <v>2.48</v>
      </c>
      <c r="G21" s="123">
        <v>0.04</v>
      </c>
      <c r="H21" s="123">
        <v>3.33</v>
      </c>
      <c r="I21" s="123">
        <v>0.06</v>
      </c>
      <c r="J21" s="123">
        <v>0.4</v>
      </c>
      <c r="K21" s="123">
        <v>0.1</v>
      </c>
      <c r="L21" s="123">
        <v>0.28999999999999998</v>
      </c>
      <c r="M21" s="123">
        <v>0.06</v>
      </c>
      <c r="N21" s="123">
        <v>1.33</v>
      </c>
      <c r="O21" s="123">
        <v>0.03</v>
      </c>
      <c r="P21" s="123">
        <v>8.57</v>
      </c>
      <c r="Q21" s="122">
        <v>0.04</v>
      </c>
      <c r="T21" s="103" t="s">
        <v>38</v>
      </c>
      <c r="U21" s="124" t="s">
        <v>58</v>
      </c>
      <c r="V21" s="123">
        <v>0</v>
      </c>
      <c r="W21" s="123">
        <v>3.52</v>
      </c>
      <c r="X21" s="123">
        <v>0</v>
      </c>
      <c r="Y21" s="123">
        <v>3.53</v>
      </c>
      <c r="Z21" s="123">
        <v>0.01</v>
      </c>
      <c r="AA21" s="123">
        <v>3.58</v>
      </c>
      <c r="AB21" s="123">
        <v>0.05</v>
      </c>
      <c r="AC21" s="123">
        <v>3.56</v>
      </c>
      <c r="AD21" s="123">
        <v>0.03</v>
      </c>
      <c r="AE21" s="123">
        <v>3.58</v>
      </c>
      <c r="AF21" s="123">
        <v>0.02</v>
      </c>
      <c r="AG21" s="122">
        <v>3.57</v>
      </c>
      <c r="AI21" s="103" t="s">
        <v>2</v>
      </c>
      <c r="AJ21" s="116">
        <v>142.33000000000001</v>
      </c>
      <c r="AK21" s="116">
        <v>3.52</v>
      </c>
      <c r="AL21" s="116">
        <v>247.53</v>
      </c>
      <c r="AM21" s="116">
        <v>3.56</v>
      </c>
      <c r="AN21" s="116">
        <v>234.88</v>
      </c>
      <c r="AO21" s="116">
        <v>3.51</v>
      </c>
      <c r="AP21" s="116">
        <v>15.35</v>
      </c>
      <c r="AQ21" s="116">
        <v>3.42</v>
      </c>
      <c r="AR21" s="116">
        <v>17.41</v>
      </c>
      <c r="AS21" s="116">
        <v>3.49</v>
      </c>
      <c r="AT21" s="116">
        <v>183.62</v>
      </c>
      <c r="AU21" s="116">
        <v>3.99</v>
      </c>
      <c r="AV21" s="116">
        <v>841.13</v>
      </c>
      <c r="AW21" s="117">
        <v>3.62</v>
      </c>
    </row>
    <row r="22" spans="3:49" ht="40.5" x14ac:dyDescent="0.25">
      <c r="C22" s="105" t="s">
        <v>13</v>
      </c>
      <c r="D22" s="123">
        <v>276.36</v>
      </c>
      <c r="E22" s="123">
        <v>7.43</v>
      </c>
      <c r="F22" s="123">
        <v>512.53</v>
      </c>
      <c r="G22" s="123">
        <v>8.52</v>
      </c>
      <c r="H22" s="123">
        <v>306.19</v>
      </c>
      <c r="I22" s="123">
        <v>5.51</v>
      </c>
      <c r="J22" s="123">
        <v>15.3</v>
      </c>
      <c r="K22" s="123">
        <v>3.73</v>
      </c>
      <c r="L22" s="123">
        <v>33.97</v>
      </c>
      <c r="M22" s="123">
        <v>7.33</v>
      </c>
      <c r="N22" s="123">
        <v>328.03</v>
      </c>
      <c r="O22" s="123">
        <v>7.57</v>
      </c>
      <c r="P22" s="97">
        <v>1472.38</v>
      </c>
      <c r="Q22" s="122">
        <v>7.18</v>
      </c>
      <c r="T22" s="103" t="s">
        <v>31</v>
      </c>
      <c r="U22" s="124" t="s">
        <v>58</v>
      </c>
      <c r="V22" s="123">
        <v>0.04</v>
      </c>
      <c r="W22" s="123">
        <v>1.7</v>
      </c>
      <c r="X22" s="123">
        <v>0.01</v>
      </c>
      <c r="Y22" s="123">
        <v>1.49</v>
      </c>
      <c r="Z22" s="123">
        <v>0.05</v>
      </c>
      <c r="AA22" s="123">
        <v>1.67</v>
      </c>
      <c r="AB22" s="123">
        <v>0.04</v>
      </c>
      <c r="AC22" s="123">
        <v>1.91</v>
      </c>
      <c r="AD22" s="123">
        <v>0.03</v>
      </c>
      <c r="AE22" s="123">
        <v>1.53</v>
      </c>
      <c r="AF22" s="123">
        <v>0.04</v>
      </c>
      <c r="AG22" s="122">
        <v>1.69</v>
      </c>
      <c r="AI22" s="103" t="s">
        <v>14</v>
      </c>
      <c r="AJ22" s="116" t="s">
        <v>139</v>
      </c>
      <c r="AK22" s="116" t="s">
        <v>139</v>
      </c>
      <c r="AL22" s="116" t="s">
        <v>139</v>
      </c>
      <c r="AM22" s="116" t="s">
        <v>139</v>
      </c>
      <c r="AN22" s="116" t="s">
        <v>139</v>
      </c>
      <c r="AO22" s="116" t="s">
        <v>139</v>
      </c>
      <c r="AP22" s="116" t="s">
        <v>139</v>
      </c>
      <c r="AQ22" s="116" t="s">
        <v>139</v>
      </c>
      <c r="AR22" s="116" t="s">
        <v>139</v>
      </c>
      <c r="AS22" s="116" t="s">
        <v>139</v>
      </c>
      <c r="AT22" s="116" t="s">
        <v>139</v>
      </c>
      <c r="AU22" s="116" t="s">
        <v>139</v>
      </c>
      <c r="AV22" s="116" t="s">
        <v>139</v>
      </c>
      <c r="AW22" s="117" t="s">
        <v>139</v>
      </c>
    </row>
    <row r="23" spans="3:49" ht="27" x14ac:dyDescent="0.25">
      <c r="C23" s="103" t="s">
        <v>2</v>
      </c>
      <c r="D23" s="123">
        <v>142.47</v>
      </c>
      <c r="E23" s="123">
        <v>3.83</v>
      </c>
      <c r="F23" s="123">
        <v>221.84</v>
      </c>
      <c r="G23" s="123">
        <v>3.69</v>
      </c>
      <c r="H23" s="123">
        <v>204.75</v>
      </c>
      <c r="I23" s="123">
        <v>3.68</v>
      </c>
      <c r="J23" s="123">
        <v>15.19</v>
      </c>
      <c r="K23" s="123">
        <v>3.7</v>
      </c>
      <c r="L23" s="123">
        <v>18.690000000000001</v>
      </c>
      <c r="M23" s="123">
        <v>4.03</v>
      </c>
      <c r="N23" s="123">
        <v>194.65</v>
      </c>
      <c r="O23" s="123">
        <v>4.49</v>
      </c>
      <c r="P23" s="123">
        <v>797.59</v>
      </c>
      <c r="Q23" s="122">
        <v>3.89</v>
      </c>
      <c r="T23" s="103" t="s">
        <v>42</v>
      </c>
      <c r="U23" s="124" t="s">
        <v>56</v>
      </c>
      <c r="V23" s="123">
        <v>0</v>
      </c>
      <c r="W23" s="123">
        <v>17.93</v>
      </c>
      <c r="X23" s="123">
        <v>0.03</v>
      </c>
      <c r="Y23" s="123">
        <v>12.93</v>
      </c>
      <c r="Z23" s="123">
        <v>0.03</v>
      </c>
      <c r="AA23" s="123">
        <v>9.33</v>
      </c>
      <c r="AB23" s="123">
        <v>0.13</v>
      </c>
      <c r="AC23" s="123">
        <v>6.5</v>
      </c>
      <c r="AD23" s="123">
        <v>0.12</v>
      </c>
      <c r="AE23" s="123">
        <v>7.23</v>
      </c>
      <c r="AF23" s="123">
        <v>0.05</v>
      </c>
      <c r="AG23" s="122">
        <v>7.94</v>
      </c>
      <c r="AI23" s="103" t="s">
        <v>15</v>
      </c>
      <c r="AJ23" s="116">
        <v>142.33000000000001</v>
      </c>
      <c r="AK23" s="116">
        <v>3.52</v>
      </c>
      <c r="AL23" s="116">
        <v>247.53</v>
      </c>
      <c r="AM23" s="116">
        <v>3.56</v>
      </c>
      <c r="AN23" s="116">
        <v>234.88</v>
      </c>
      <c r="AO23" s="116">
        <v>3.51</v>
      </c>
      <c r="AP23" s="116">
        <v>15.35</v>
      </c>
      <c r="AQ23" s="116">
        <v>3.42</v>
      </c>
      <c r="AR23" s="116">
        <v>17.41</v>
      </c>
      <c r="AS23" s="116">
        <v>3.49</v>
      </c>
      <c r="AT23" s="116">
        <v>183.62</v>
      </c>
      <c r="AU23" s="116">
        <v>3.99</v>
      </c>
      <c r="AV23" s="116">
        <v>841.13</v>
      </c>
      <c r="AW23" s="117">
        <v>3.62</v>
      </c>
    </row>
    <row r="24" spans="3:49" ht="27" x14ac:dyDescent="0.25">
      <c r="C24" s="103" t="s">
        <v>14</v>
      </c>
      <c r="D24" s="123" t="s">
        <v>139</v>
      </c>
      <c r="E24" s="123" t="s">
        <v>139</v>
      </c>
      <c r="F24" s="123" t="s">
        <v>139</v>
      </c>
      <c r="G24" s="123" t="s">
        <v>139</v>
      </c>
      <c r="H24" s="123" t="s">
        <v>139</v>
      </c>
      <c r="I24" s="123" t="s">
        <v>139</v>
      </c>
      <c r="J24" s="123" t="s">
        <v>139</v>
      </c>
      <c r="K24" s="123" t="s">
        <v>139</v>
      </c>
      <c r="L24" s="123" t="s">
        <v>139</v>
      </c>
      <c r="M24" s="123" t="s">
        <v>139</v>
      </c>
      <c r="N24" s="123" t="s">
        <v>139</v>
      </c>
      <c r="O24" s="123" t="s">
        <v>139</v>
      </c>
      <c r="P24" s="123" t="s">
        <v>139</v>
      </c>
      <c r="Q24" s="122" t="s">
        <v>139</v>
      </c>
      <c r="T24" s="103" t="s">
        <v>42</v>
      </c>
      <c r="U24" s="124" t="s">
        <v>58</v>
      </c>
      <c r="V24" s="123">
        <v>0.95</v>
      </c>
      <c r="W24" s="123">
        <v>3.24</v>
      </c>
      <c r="X24" s="123">
        <v>3.18</v>
      </c>
      <c r="Y24" s="123">
        <v>3.14</v>
      </c>
      <c r="Z24" s="123">
        <v>6.24</v>
      </c>
      <c r="AA24" s="123">
        <v>3.15</v>
      </c>
      <c r="AB24" s="123">
        <v>6.72</v>
      </c>
      <c r="AC24" s="123">
        <v>3.13</v>
      </c>
      <c r="AD24" s="123">
        <v>8.25</v>
      </c>
      <c r="AE24" s="123">
        <v>3.14</v>
      </c>
      <c r="AF24" s="123">
        <v>5.2</v>
      </c>
      <c r="AG24" s="122">
        <v>3.15</v>
      </c>
      <c r="AI24" s="103" t="s">
        <v>4</v>
      </c>
      <c r="AJ24" s="116">
        <v>157.55000000000001</v>
      </c>
      <c r="AK24" s="116">
        <v>3.9</v>
      </c>
      <c r="AL24" s="116">
        <v>430.25</v>
      </c>
      <c r="AM24" s="116">
        <v>6.18</v>
      </c>
      <c r="AN24" s="116">
        <v>135.53</v>
      </c>
      <c r="AO24" s="116">
        <v>2.02</v>
      </c>
      <c r="AP24" s="116">
        <v>7.0000000000000007E-2</v>
      </c>
      <c r="AQ24" s="116">
        <v>0.02</v>
      </c>
      <c r="AR24" s="116">
        <v>18.75</v>
      </c>
      <c r="AS24" s="116">
        <v>3.76</v>
      </c>
      <c r="AT24" s="116">
        <v>127.42</v>
      </c>
      <c r="AU24" s="116">
        <v>2.77</v>
      </c>
      <c r="AV24" s="116">
        <v>869.57</v>
      </c>
      <c r="AW24" s="117">
        <v>3.74</v>
      </c>
    </row>
    <row r="25" spans="3:49" ht="27" x14ac:dyDescent="0.25">
      <c r="C25" s="103" t="s">
        <v>15</v>
      </c>
      <c r="D25" s="123">
        <v>142.47</v>
      </c>
      <c r="E25" s="123">
        <v>3.83</v>
      </c>
      <c r="F25" s="123">
        <v>221.84</v>
      </c>
      <c r="G25" s="123">
        <v>3.69</v>
      </c>
      <c r="H25" s="123">
        <v>204.75</v>
      </c>
      <c r="I25" s="123">
        <v>3.68</v>
      </c>
      <c r="J25" s="123">
        <v>15.19</v>
      </c>
      <c r="K25" s="123">
        <v>3.7</v>
      </c>
      <c r="L25" s="123">
        <v>18.690000000000001</v>
      </c>
      <c r="M25" s="123">
        <v>4.03</v>
      </c>
      <c r="N25" s="123">
        <v>194.65</v>
      </c>
      <c r="O25" s="123">
        <v>4.49</v>
      </c>
      <c r="P25" s="123">
        <v>797.59</v>
      </c>
      <c r="Q25" s="122">
        <v>3.89</v>
      </c>
      <c r="T25" s="103" t="s">
        <v>42</v>
      </c>
      <c r="U25" s="124" t="s">
        <v>57</v>
      </c>
      <c r="V25" s="123">
        <v>0.04</v>
      </c>
      <c r="W25" s="123">
        <v>3.4</v>
      </c>
      <c r="X25" s="123">
        <v>0.36</v>
      </c>
      <c r="Y25" s="123">
        <v>6.38</v>
      </c>
      <c r="Z25" s="123">
        <v>1.46</v>
      </c>
      <c r="AA25" s="123">
        <v>5.56</v>
      </c>
      <c r="AB25" s="123">
        <v>1.48</v>
      </c>
      <c r="AC25" s="123">
        <v>5.59</v>
      </c>
      <c r="AD25" s="123">
        <v>2.2599999999999998</v>
      </c>
      <c r="AE25" s="123">
        <v>5.04</v>
      </c>
      <c r="AF25" s="123">
        <v>1.1499999999999999</v>
      </c>
      <c r="AG25" s="122">
        <v>5.46</v>
      </c>
      <c r="AI25" s="103" t="s">
        <v>12</v>
      </c>
      <c r="AJ25" s="116">
        <v>2.34</v>
      </c>
      <c r="AK25" s="116">
        <v>0.06</v>
      </c>
      <c r="AL25" s="116">
        <v>2.85</v>
      </c>
      <c r="AM25" s="116">
        <v>0.04</v>
      </c>
      <c r="AN25" s="116">
        <v>-20.32</v>
      </c>
      <c r="AO25" s="116">
        <v>-0.3</v>
      </c>
      <c r="AP25" s="116" t="s">
        <v>139</v>
      </c>
      <c r="AQ25" s="116" t="s">
        <v>139</v>
      </c>
      <c r="AR25" s="116" t="s">
        <v>139</v>
      </c>
      <c r="AS25" s="116" t="s">
        <v>139</v>
      </c>
      <c r="AT25" s="116">
        <v>-2.9</v>
      </c>
      <c r="AU25" s="116">
        <v>-0.06</v>
      </c>
      <c r="AV25" s="116">
        <v>-18.04</v>
      </c>
      <c r="AW25" s="117">
        <v>-0.08</v>
      </c>
    </row>
    <row r="26" spans="3:49" ht="40.5" x14ac:dyDescent="0.25">
      <c r="C26" s="103" t="s">
        <v>4</v>
      </c>
      <c r="D26" s="123">
        <v>132.62</v>
      </c>
      <c r="E26" s="123">
        <v>3.57</v>
      </c>
      <c r="F26" s="123">
        <v>289.24</v>
      </c>
      <c r="G26" s="123">
        <v>4.8099999999999996</v>
      </c>
      <c r="H26" s="123">
        <v>108.6</v>
      </c>
      <c r="I26" s="123">
        <v>1.95</v>
      </c>
      <c r="J26" s="123">
        <v>0.11</v>
      </c>
      <c r="K26" s="123">
        <v>0.03</v>
      </c>
      <c r="L26" s="123">
        <v>15.26</v>
      </c>
      <c r="M26" s="123">
        <v>3.29</v>
      </c>
      <c r="N26" s="123">
        <v>133.91</v>
      </c>
      <c r="O26" s="123">
        <v>3.09</v>
      </c>
      <c r="P26" s="123">
        <v>679.75</v>
      </c>
      <c r="Q26" s="122">
        <v>3.31</v>
      </c>
      <c r="T26" s="103" t="s">
        <v>47</v>
      </c>
      <c r="U26" s="124" t="s">
        <v>59</v>
      </c>
      <c r="V26" s="123" t="s">
        <v>139</v>
      </c>
      <c r="W26" s="123" t="s">
        <v>139</v>
      </c>
      <c r="X26" s="123">
        <v>0</v>
      </c>
      <c r="Y26" s="123">
        <v>2.13</v>
      </c>
      <c r="Z26" s="123">
        <v>0</v>
      </c>
      <c r="AA26" s="123">
        <v>2.13</v>
      </c>
      <c r="AB26" s="123">
        <v>0</v>
      </c>
      <c r="AC26" s="123">
        <v>2.13</v>
      </c>
      <c r="AD26" s="123">
        <v>0</v>
      </c>
      <c r="AE26" s="123">
        <v>2.13</v>
      </c>
      <c r="AF26" s="123">
        <v>0</v>
      </c>
      <c r="AG26" s="122">
        <v>2.13</v>
      </c>
      <c r="AI26" s="103" t="s">
        <v>171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0</v>
      </c>
      <c r="AP26" s="116">
        <v>0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0.01</v>
      </c>
      <c r="AW26" s="117">
        <v>0</v>
      </c>
    </row>
    <row r="27" spans="3:49" ht="27" x14ac:dyDescent="0.25">
      <c r="C27" s="103" t="s">
        <v>12</v>
      </c>
      <c r="D27" s="123">
        <v>1.1599999999999999</v>
      </c>
      <c r="E27" s="123">
        <v>0.03</v>
      </c>
      <c r="F27" s="123">
        <v>1.24</v>
      </c>
      <c r="G27" s="123">
        <v>0.02</v>
      </c>
      <c r="H27" s="123">
        <v>-7.19</v>
      </c>
      <c r="I27" s="123">
        <v>-0.13</v>
      </c>
      <c r="J27" s="123" t="s">
        <v>139</v>
      </c>
      <c r="K27" s="123" t="s">
        <v>139</v>
      </c>
      <c r="L27" s="123" t="s">
        <v>139</v>
      </c>
      <c r="M27" s="123" t="s">
        <v>139</v>
      </c>
      <c r="N27" s="123">
        <v>-0.61</v>
      </c>
      <c r="O27" s="123">
        <v>-0.01</v>
      </c>
      <c r="P27" s="123">
        <v>-5.4</v>
      </c>
      <c r="Q27" s="122">
        <v>-0.03</v>
      </c>
      <c r="T27" s="103" t="s">
        <v>47</v>
      </c>
      <c r="U27" s="124" t="s">
        <v>58</v>
      </c>
      <c r="V27" s="123">
        <v>0.11</v>
      </c>
      <c r="W27" s="123">
        <v>3.51</v>
      </c>
      <c r="X27" s="123">
        <v>0.36</v>
      </c>
      <c r="Y27" s="123">
        <v>3.54</v>
      </c>
      <c r="Z27" s="123">
        <v>0.77</v>
      </c>
      <c r="AA27" s="123">
        <v>3.57</v>
      </c>
      <c r="AB27" s="123">
        <v>0.56000000000000005</v>
      </c>
      <c r="AC27" s="123">
        <v>3.58</v>
      </c>
      <c r="AD27" s="123">
        <v>0.56000000000000005</v>
      </c>
      <c r="AE27" s="123">
        <v>3.49</v>
      </c>
      <c r="AF27" s="123">
        <v>0.53</v>
      </c>
      <c r="AG27" s="122">
        <v>3.55</v>
      </c>
      <c r="AI27" s="105" t="s">
        <v>16</v>
      </c>
      <c r="AJ27" s="97">
        <v>4037.72</v>
      </c>
      <c r="AK27" s="116">
        <v>100</v>
      </c>
      <c r="AL27" s="97">
        <v>6956.87</v>
      </c>
      <c r="AM27" s="116">
        <v>100</v>
      </c>
      <c r="AN27" s="97">
        <v>6694.24</v>
      </c>
      <c r="AO27" s="116">
        <v>100</v>
      </c>
      <c r="AP27" s="116">
        <v>449.02</v>
      </c>
      <c r="AQ27" s="116">
        <v>100</v>
      </c>
      <c r="AR27" s="116">
        <v>498.56</v>
      </c>
      <c r="AS27" s="116">
        <v>100</v>
      </c>
      <c r="AT27" s="97">
        <v>4607.71</v>
      </c>
      <c r="AU27" s="116">
        <v>100</v>
      </c>
      <c r="AV27" s="97">
        <v>23244.12</v>
      </c>
      <c r="AW27" s="117">
        <v>100</v>
      </c>
    </row>
    <row r="28" spans="3:49" ht="40.5" x14ac:dyDescent="0.25">
      <c r="C28" s="103" t="s">
        <v>171</v>
      </c>
      <c r="D28" s="123">
        <v>0.11</v>
      </c>
      <c r="E28" s="123">
        <v>0</v>
      </c>
      <c r="F28" s="123">
        <v>0.21</v>
      </c>
      <c r="G28" s="123">
        <v>0</v>
      </c>
      <c r="H28" s="123">
        <v>0.03</v>
      </c>
      <c r="I28" s="123">
        <v>0</v>
      </c>
      <c r="J28" s="123">
        <v>0</v>
      </c>
      <c r="K28" s="123">
        <v>0</v>
      </c>
      <c r="L28" s="123">
        <v>0.01</v>
      </c>
      <c r="M28" s="123">
        <v>0</v>
      </c>
      <c r="N28" s="123">
        <v>7.0000000000000007E-2</v>
      </c>
      <c r="O28" s="123">
        <v>0</v>
      </c>
      <c r="P28" s="123">
        <v>0.44</v>
      </c>
      <c r="Q28" s="122">
        <v>0</v>
      </c>
      <c r="T28" s="103" t="s">
        <v>32</v>
      </c>
      <c r="U28" s="124" t="s">
        <v>58</v>
      </c>
      <c r="V28" s="123">
        <v>0</v>
      </c>
      <c r="W28" s="123">
        <v>1.49</v>
      </c>
      <c r="X28" s="123">
        <v>0.01</v>
      </c>
      <c r="Y28" s="123">
        <v>1.42</v>
      </c>
      <c r="Z28" s="123">
        <v>0.01</v>
      </c>
      <c r="AA28" s="123">
        <v>1.38</v>
      </c>
      <c r="AB28" s="123">
        <v>0.01</v>
      </c>
      <c r="AC28" s="123">
        <v>1.4</v>
      </c>
      <c r="AD28" s="123">
        <v>0.01</v>
      </c>
      <c r="AE28" s="123">
        <v>1.41</v>
      </c>
      <c r="AF28" s="123">
        <v>0.01</v>
      </c>
      <c r="AG28" s="122">
        <v>1.4</v>
      </c>
      <c r="AI28" s="105" t="s">
        <v>17</v>
      </c>
      <c r="AJ28" s="116">
        <v>175.13</v>
      </c>
      <c r="AK28" s="116">
        <v>4.34</v>
      </c>
      <c r="AL28" s="116">
        <v>301.7</v>
      </c>
      <c r="AM28" s="116">
        <v>4.34</v>
      </c>
      <c r="AN28" s="116">
        <v>304.05</v>
      </c>
      <c r="AO28" s="116">
        <v>4.54</v>
      </c>
      <c r="AP28" s="116">
        <v>18.899999999999999</v>
      </c>
      <c r="AQ28" s="116">
        <v>4.21</v>
      </c>
      <c r="AR28" s="116">
        <v>20.96</v>
      </c>
      <c r="AS28" s="116">
        <v>4.2</v>
      </c>
      <c r="AT28" s="116">
        <v>224.19</v>
      </c>
      <c r="AU28" s="116">
        <v>4.87</v>
      </c>
      <c r="AV28" s="97">
        <v>1044.93</v>
      </c>
      <c r="AW28" s="117">
        <v>4.5</v>
      </c>
    </row>
    <row r="29" spans="3:49" ht="54" x14ac:dyDescent="0.25">
      <c r="C29" s="105" t="s">
        <v>16</v>
      </c>
      <c r="D29" s="97">
        <v>3719.94</v>
      </c>
      <c r="E29" s="123">
        <v>100</v>
      </c>
      <c r="F29" s="97">
        <v>6018.78</v>
      </c>
      <c r="G29" s="123">
        <v>100</v>
      </c>
      <c r="H29" s="97">
        <v>5561.69</v>
      </c>
      <c r="I29" s="123">
        <v>100</v>
      </c>
      <c r="J29" s="123">
        <v>410.52</v>
      </c>
      <c r="K29" s="123">
        <v>100</v>
      </c>
      <c r="L29" s="123">
        <v>463.35</v>
      </c>
      <c r="M29" s="123">
        <v>100</v>
      </c>
      <c r="N29" s="97">
        <v>4333.3</v>
      </c>
      <c r="O29" s="123">
        <v>100</v>
      </c>
      <c r="P29" s="97">
        <v>20507.57</v>
      </c>
      <c r="Q29" s="122">
        <v>100</v>
      </c>
      <c r="T29" s="103" t="s">
        <v>146</v>
      </c>
      <c r="U29" s="226" t="s">
        <v>56</v>
      </c>
      <c r="V29" s="225">
        <v>4.68</v>
      </c>
      <c r="W29" s="225">
        <v>0.36</v>
      </c>
      <c r="X29" s="225">
        <v>4.26</v>
      </c>
      <c r="Y29" s="225">
        <v>0.38</v>
      </c>
      <c r="Z29" s="225">
        <v>2.3199999999999998</v>
      </c>
      <c r="AA29" s="225">
        <v>0.39</v>
      </c>
      <c r="AB29" s="225">
        <v>6.53</v>
      </c>
      <c r="AC29" s="225">
        <v>0.38</v>
      </c>
      <c r="AD29" s="225">
        <v>9.1</v>
      </c>
      <c r="AE29" s="225">
        <v>0.39</v>
      </c>
      <c r="AF29" s="225">
        <v>4.63</v>
      </c>
      <c r="AG29" s="224">
        <v>0.38</v>
      </c>
      <c r="AI29" s="105" t="s">
        <v>18</v>
      </c>
      <c r="AJ29" s="97">
        <v>3847.88</v>
      </c>
      <c r="AK29" s="116">
        <v>95.3</v>
      </c>
      <c r="AL29" s="97">
        <v>6667.59</v>
      </c>
      <c r="AM29" s="116">
        <v>95.84</v>
      </c>
      <c r="AN29" s="97">
        <v>6408.08</v>
      </c>
      <c r="AO29" s="116">
        <v>95.73</v>
      </c>
      <c r="AP29" s="116">
        <v>429.8</v>
      </c>
      <c r="AQ29" s="116">
        <v>95.72</v>
      </c>
      <c r="AR29" s="116">
        <v>477.5</v>
      </c>
      <c r="AS29" s="116">
        <v>95.78</v>
      </c>
      <c r="AT29" s="97">
        <v>4395.01</v>
      </c>
      <c r="AU29" s="116">
        <v>95.38</v>
      </c>
      <c r="AV29" s="97">
        <v>22225.85</v>
      </c>
      <c r="AW29" s="117">
        <v>95.62</v>
      </c>
    </row>
    <row r="30" spans="3:49" ht="40.5" x14ac:dyDescent="0.25">
      <c r="C30" s="105" t="s">
        <v>17</v>
      </c>
      <c r="D30" s="123">
        <v>175.08</v>
      </c>
      <c r="E30" s="123">
        <v>4.71</v>
      </c>
      <c r="F30" s="123">
        <v>282.55</v>
      </c>
      <c r="G30" s="123">
        <v>4.6900000000000004</v>
      </c>
      <c r="H30" s="123">
        <v>274.20999999999998</v>
      </c>
      <c r="I30" s="123">
        <v>4.93</v>
      </c>
      <c r="J30" s="123">
        <v>19.059999999999999</v>
      </c>
      <c r="K30" s="123">
        <v>4.6399999999999997</v>
      </c>
      <c r="L30" s="123">
        <v>22.53</v>
      </c>
      <c r="M30" s="123">
        <v>4.8600000000000003</v>
      </c>
      <c r="N30" s="123">
        <v>235.73</v>
      </c>
      <c r="O30" s="123">
        <v>5.44</v>
      </c>
      <c r="P30" s="97">
        <v>1009.16</v>
      </c>
      <c r="Q30" s="122">
        <v>4.92</v>
      </c>
      <c r="T30" s="103" t="s">
        <v>46</v>
      </c>
      <c r="U30" s="226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4"/>
      <c r="AI30" s="105" t="s">
        <v>19</v>
      </c>
      <c r="AJ30" s="116">
        <v>14.08</v>
      </c>
      <c r="AK30" s="116">
        <v>0.35</v>
      </c>
      <c r="AL30" s="116">
        <v>-12.7</v>
      </c>
      <c r="AM30" s="116">
        <v>-0.18</v>
      </c>
      <c r="AN30" s="116">
        <v>-19.649999999999999</v>
      </c>
      <c r="AO30" s="116">
        <v>-0.28999999999999998</v>
      </c>
      <c r="AP30" s="116">
        <v>-0.03</v>
      </c>
      <c r="AQ30" s="116">
        <v>-0.01</v>
      </c>
      <c r="AR30" s="116">
        <v>-0.01</v>
      </c>
      <c r="AS30" s="116">
        <v>0</v>
      </c>
      <c r="AT30" s="116">
        <v>-11.65</v>
      </c>
      <c r="AU30" s="116">
        <v>-0.25</v>
      </c>
      <c r="AV30" s="116">
        <v>-29.96</v>
      </c>
      <c r="AW30" s="117">
        <v>-0.13</v>
      </c>
    </row>
    <row r="31" spans="3:49" ht="27.75" thickBot="1" x14ac:dyDescent="0.3">
      <c r="C31" s="105" t="s">
        <v>18</v>
      </c>
      <c r="D31" s="97">
        <v>3528.28</v>
      </c>
      <c r="E31" s="123">
        <v>94.85</v>
      </c>
      <c r="F31" s="97">
        <v>5742.03</v>
      </c>
      <c r="G31" s="123">
        <v>95.4</v>
      </c>
      <c r="H31" s="97">
        <v>5289.18</v>
      </c>
      <c r="I31" s="123">
        <v>95.1</v>
      </c>
      <c r="J31" s="123">
        <v>391.08</v>
      </c>
      <c r="K31" s="123">
        <v>95.27</v>
      </c>
      <c r="L31" s="123">
        <v>440.6</v>
      </c>
      <c r="M31" s="123">
        <v>95.09</v>
      </c>
      <c r="N31" s="97">
        <v>4103.37</v>
      </c>
      <c r="O31" s="123">
        <v>94.69</v>
      </c>
      <c r="P31" s="97">
        <v>19494.55</v>
      </c>
      <c r="Q31" s="122">
        <v>95.06</v>
      </c>
      <c r="T31" s="103" t="s">
        <v>46</v>
      </c>
      <c r="U31" s="124" t="s">
        <v>58</v>
      </c>
      <c r="V31" s="123">
        <v>0.14000000000000001</v>
      </c>
      <c r="W31" s="123">
        <v>2.82</v>
      </c>
      <c r="X31" s="123">
        <v>0.93</v>
      </c>
      <c r="Y31" s="123">
        <v>2.59</v>
      </c>
      <c r="Z31" s="123">
        <v>1.48</v>
      </c>
      <c r="AA31" s="123">
        <v>2.35</v>
      </c>
      <c r="AB31" s="123">
        <v>4.53</v>
      </c>
      <c r="AC31" s="123">
        <v>2.33</v>
      </c>
      <c r="AD31" s="123">
        <v>7.3</v>
      </c>
      <c r="AE31" s="123">
        <v>2.48</v>
      </c>
      <c r="AF31" s="123">
        <v>2.4500000000000002</v>
      </c>
      <c r="AG31" s="122">
        <v>2.42</v>
      </c>
      <c r="AI31" s="106" t="s">
        <v>20</v>
      </c>
      <c r="AJ31" s="107">
        <v>0.64</v>
      </c>
      <c r="AK31" s="107">
        <v>0.02</v>
      </c>
      <c r="AL31" s="107">
        <v>0.28000000000000003</v>
      </c>
      <c r="AM31" s="107">
        <v>0</v>
      </c>
      <c r="AN31" s="107">
        <v>1.76</v>
      </c>
      <c r="AO31" s="107">
        <v>0.03</v>
      </c>
      <c r="AP31" s="107">
        <v>0.34</v>
      </c>
      <c r="AQ31" s="107">
        <v>0.08</v>
      </c>
      <c r="AR31" s="107">
        <v>0.11</v>
      </c>
      <c r="AS31" s="107">
        <v>0.02</v>
      </c>
      <c r="AT31" s="107">
        <v>0.16</v>
      </c>
      <c r="AU31" s="107">
        <v>0</v>
      </c>
      <c r="AV31" s="107">
        <v>3.3</v>
      </c>
      <c r="AW31" s="108">
        <v>0.01</v>
      </c>
    </row>
    <row r="32" spans="3:49" ht="27" x14ac:dyDescent="0.25">
      <c r="C32" s="105" t="s">
        <v>19</v>
      </c>
      <c r="D32" s="123">
        <v>15.73</v>
      </c>
      <c r="E32" s="123">
        <v>0.42</v>
      </c>
      <c r="F32" s="123">
        <v>-8.5</v>
      </c>
      <c r="G32" s="123">
        <v>-0.14000000000000001</v>
      </c>
      <c r="H32" s="123">
        <v>-5.0599999999999996</v>
      </c>
      <c r="I32" s="123">
        <v>-0.09</v>
      </c>
      <c r="J32" s="123">
        <v>-0.02</v>
      </c>
      <c r="K32" s="123">
        <v>-0.01</v>
      </c>
      <c r="L32" s="123">
        <v>-0.08</v>
      </c>
      <c r="M32" s="123">
        <v>-0.02</v>
      </c>
      <c r="N32" s="123">
        <v>-7.21</v>
      </c>
      <c r="O32" s="123">
        <v>-0.17</v>
      </c>
      <c r="P32" s="123">
        <v>-5.15</v>
      </c>
      <c r="Q32" s="122">
        <v>-0.03</v>
      </c>
      <c r="T32" s="103" t="s">
        <v>147</v>
      </c>
      <c r="U32" s="226" t="s">
        <v>165</v>
      </c>
      <c r="V32" s="225" t="s">
        <v>139</v>
      </c>
      <c r="W32" s="225" t="s">
        <v>139</v>
      </c>
      <c r="X32" s="225" t="s">
        <v>139</v>
      </c>
      <c r="Y32" s="225" t="s">
        <v>139</v>
      </c>
      <c r="Z32" s="225">
        <v>0</v>
      </c>
      <c r="AA32" s="225">
        <v>10.7</v>
      </c>
      <c r="AB32" s="225">
        <v>0.01</v>
      </c>
      <c r="AC32" s="225">
        <v>10.7</v>
      </c>
      <c r="AD32" s="225">
        <v>0.01</v>
      </c>
      <c r="AE32" s="225">
        <v>10.7</v>
      </c>
      <c r="AF32" s="225">
        <v>0</v>
      </c>
      <c r="AG32" s="224">
        <v>10.7</v>
      </c>
    </row>
    <row r="33" spans="3:47" ht="27.75" thickBot="1" x14ac:dyDescent="0.3">
      <c r="C33" s="106" t="s">
        <v>20</v>
      </c>
      <c r="D33" s="107">
        <v>0.85</v>
      </c>
      <c r="E33" s="107">
        <v>0.02</v>
      </c>
      <c r="F33" s="107">
        <v>2.69</v>
      </c>
      <c r="G33" s="107">
        <v>0.04</v>
      </c>
      <c r="H33" s="107">
        <v>3.36</v>
      </c>
      <c r="I33" s="107">
        <v>0.06</v>
      </c>
      <c r="J33" s="107">
        <v>0.4</v>
      </c>
      <c r="K33" s="107">
        <v>0.1</v>
      </c>
      <c r="L33" s="107">
        <v>0.3</v>
      </c>
      <c r="M33" s="107">
        <v>7.0000000000000007E-2</v>
      </c>
      <c r="N33" s="107">
        <v>1.4</v>
      </c>
      <c r="O33" s="107">
        <v>0.03</v>
      </c>
      <c r="P33" s="107">
        <v>9.01</v>
      </c>
      <c r="Q33" s="108">
        <v>0.04</v>
      </c>
      <c r="T33" s="103" t="s">
        <v>49</v>
      </c>
      <c r="U33" s="226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4"/>
    </row>
    <row r="34" spans="3:47" ht="27.75" thickBot="1" x14ac:dyDescent="0.3">
      <c r="C34" s="3" t="s">
        <v>27</v>
      </c>
      <c r="D34" s="3" t="s">
        <v>140</v>
      </c>
      <c r="E34" s="3" t="s">
        <v>149</v>
      </c>
      <c r="F34" s="3" t="s">
        <v>150</v>
      </c>
      <c r="G34" s="3" t="s">
        <v>151</v>
      </c>
      <c r="H34" s="3" t="s">
        <v>28</v>
      </c>
      <c r="I34" s="3" t="s">
        <v>173</v>
      </c>
      <c r="J34" s="227">
        <v>7.84</v>
      </c>
      <c r="K34" s="213">
        <v>0.01</v>
      </c>
      <c r="L34" s="213">
        <v>7.84</v>
      </c>
      <c r="M34" s="213">
        <v>0.01</v>
      </c>
      <c r="N34" s="213">
        <v>7.84</v>
      </c>
      <c r="O34" s="213">
        <v>0</v>
      </c>
      <c r="P34" s="215">
        <v>7.84</v>
      </c>
      <c r="T34" s="103" t="s">
        <v>49</v>
      </c>
      <c r="U34" s="124" t="s">
        <v>61</v>
      </c>
      <c r="V34" s="123" t="s">
        <v>139</v>
      </c>
      <c r="W34" s="123" t="s">
        <v>139</v>
      </c>
      <c r="X34" s="123">
        <v>0.02</v>
      </c>
      <c r="Y34" s="123">
        <v>6.2</v>
      </c>
      <c r="Z34" s="123">
        <v>0.02</v>
      </c>
      <c r="AA34" s="123">
        <v>6.2</v>
      </c>
      <c r="AB34" s="123">
        <v>0.04</v>
      </c>
      <c r="AC34" s="123">
        <v>6.2</v>
      </c>
      <c r="AD34" s="123">
        <v>0.02</v>
      </c>
      <c r="AE34" s="123">
        <v>6.2</v>
      </c>
      <c r="AF34" s="123">
        <v>0.02</v>
      </c>
      <c r="AG34" s="122">
        <v>6.2</v>
      </c>
    </row>
    <row r="35" spans="3:47" ht="15" customHeight="1" x14ac:dyDescent="0.25">
      <c r="C35" s="109" t="s">
        <v>63</v>
      </c>
      <c r="D35" s="120">
        <v>1841</v>
      </c>
      <c r="E35" s="120">
        <v>1672</v>
      </c>
      <c r="F35" s="120">
        <v>1682</v>
      </c>
      <c r="G35" s="120">
        <v>1669</v>
      </c>
      <c r="H35" s="120">
        <v>1769</v>
      </c>
      <c r="I35" s="121">
        <v>1704</v>
      </c>
      <c r="J35" s="228"/>
      <c r="K35" s="214"/>
      <c r="L35" s="214"/>
      <c r="M35" s="214"/>
      <c r="N35" s="214"/>
      <c r="O35" s="214"/>
      <c r="P35" s="216"/>
      <c r="T35" s="103" t="s">
        <v>49</v>
      </c>
      <c r="U35" s="124" t="s">
        <v>58</v>
      </c>
      <c r="V35" s="123">
        <v>0.01</v>
      </c>
      <c r="W35" s="123">
        <v>2.96</v>
      </c>
      <c r="X35" s="123">
        <v>0.03</v>
      </c>
      <c r="Y35" s="123">
        <v>2.96</v>
      </c>
      <c r="Z35" s="123">
        <v>0.04</v>
      </c>
      <c r="AA35" s="123">
        <v>2.96</v>
      </c>
      <c r="AB35" s="123">
        <v>0.04</v>
      </c>
      <c r="AC35" s="123">
        <v>2.96</v>
      </c>
      <c r="AD35" s="123">
        <v>0.01</v>
      </c>
      <c r="AE35" s="123">
        <v>2.96</v>
      </c>
      <c r="AF35" s="123">
        <v>0.03</v>
      </c>
      <c r="AG35" s="122">
        <v>2.96</v>
      </c>
    </row>
    <row r="36" spans="3:47" ht="15.75" x14ac:dyDescent="0.3">
      <c r="C36" s="103" t="s">
        <v>30</v>
      </c>
      <c r="D36" s="123">
        <v>4919</v>
      </c>
      <c r="E36" s="123">
        <v>2588</v>
      </c>
      <c r="F36" s="123">
        <v>3486</v>
      </c>
      <c r="G36" s="123">
        <v>2783</v>
      </c>
      <c r="H36" s="123">
        <v>2569</v>
      </c>
      <c r="I36" s="122">
        <v>2973</v>
      </c>
      <c r="J36" s="114">
        <v>6.03</v>
      </c>
      <c r="K36" s="114">
        <v>0.04</v>
      </c>
      <c r="L36" s="114">
        <v>6.03</v>
      </c>
      <c r="M36" s="114">
        <v>0.02</v>
      </c>
      <c r="N36" s="114">
        <v>6.03</v>
      </c>
      <c r="O36" s="114">
        <v>0.02</v>
      </c>
      <c r="P36" s="115">
        <v>6.03</v>
      </c>
      <c r="T36" s="103" t="s">
        <v>49</v>
      </c>
      <c r="U36" s="124" t="s">
        <v>57</v>
      </c>
      <c r="V36" s="123" t="s">
        <v>139</v>
      </c>
      <c r="W36" s="123" t="s">
        <v>139</v>
      </c>
      <c r="X36" s="123">
        <v>0</v>
      </c>
      <c r="Y36" s="123">
        <v>5.23</v>
      </c>
      <c r="Z36" s="123">
        <v>0.01</v>
      </c>
      <c r="AA36" s="123">
        <v>6.01</v>
      </c>
      <c r="AB36" s="123">
        <v>0.01</v>
      </c>
      <c r="AC36" s="123">
        <v>5.23</v>
      </c>
      <c r="AD36" s="123" t="s">
        <v>139</v>
      </c>
      <c r="AE36" s="123" t="s">
        <v>139</v>
      </c>
      <c r="AF36" s="123">
        <v>0.01</v>
      </c>
      <c r="AG36" s="122">
        <v>5.63</v>
      </c>
    </row>
    <row r="37" spans="3:47" ht="16.5" thickBot="1" x14ac:dyDescent="0.35">
      <c r="C37" s="103" t="s">
        <v>31</v>
      </c>
      <c r="D37" s="123">
        <v>955</v>
      </c>
      <c r="E37" s="123">
        <v>957</v>
      </c>
      <c r="F37" s="123">
        <v>1109</v>
      </c>
      <c r="G37" s="123">
        <v>588</v>
      </c>
      <c r="H37" s="123">
        <v>642</v>
      </c>
      <c r="I37" s="122">
        <v>937</v>
      </c>
      <c r="J37" s="114">
        <v>3.87</v>
      </c>
      <c r="K37" s="114">
        <v>0.03</v>
      </c>
      <c r="L37" s="114">
        <v>3.87</v>
      </c>
      <c r="M37" s="114">
        <v>0.01</v>
      </c>
      <c r="N37" s="114">
        <v>3.87</v>
      </c>
      <c r="O37" s="114">
        <v>0.02</v>
      </c>
      <c r="P37" s="115">
        <v>3.87</v>
      </c>
      <c r="T37" s="103" t="s">
        <v>50</v>
      </c>
      <c r="U37" s="124" t="s">
        <v>163</v>
      </c>
      <c r="V37" s="123">
        <v>0</v>
      </c>
      <c r="W37" s="123">
        <v>2.64</v>
      </c>
      <c r="X37" s="123" t="s">
        <v>139</v>
      </c>
      <c r="Y37" s="123" t="s">
        <v>139</v>
      </c>
      <c r="Z37" s="123" t="s">
        <v>139</v>
      </c>
      <c r="AA37" s="123" t="s">
        <v>139</v>
      </c>
      <c r="AB37" s="123" t="s">
        <v>139</v>
      </c>
      <c r="AC37" s="123" t="s">
        <v>139</v>
      </c>
      <c r="AD37" s="123" t="s">
        <v>139</v>
      </c>
      <c r="AE37" s="123" t="s">
        <v>139</v>
      </c>
      <c r="AF37" s="123">
        <v>0</v>
      </c>
      <c r="AG37" s="122">
        <v>2.64</v>
      </c>
    </row>
    <row r="38" spans="3:47" ht="16.5" thickBot="1" x14ac:dyDescent="0.35">
      <c r="C38" s="103" t="s">
        <v>32</v>
      </c>
      <c r="D38" s="123">
        <v>1076</v>
      </c>
      <c r="E38" s="123">
        <v>945</v>
      </c>
      <c r="F38" s="123">
        <v>568</v>
      </c>
      <c r="G38" s="123">
        <v>821</v>
      </c>
      <c r="H38" s="123">
        <v>837</v>
      </c>
      <c r="I38" s="122">
        <v>763</v>
      </c>
      <c r="J38" s="114">
        <v>5.2</v>
      </c>
      <c r="K38" s="114">
        <v>0.02</v>
      </c>
      <c r="L38" s="114">
        <v>5.2</v>
      </c>
      <c r="M38" s="114" t="s">
        <v>139</v>
      </c>
      <c r="N38" s="114" t="s">
        <v>139</v>
      </c>
      <c r="O38" s="114">
        <v>0.01</v>
      </c>
      <c r="P38" s="115">
        <v>5.2</v>
      </c>
      <c r="S38" s="204" t="s">
        <v>107</v>
      </c>
      <c r="T38" s="103" t="s">
        <v>50</v>
      </c>
      <c r="U38" s="124" t="s">
        <v>60</v>
      </c>
      <c r="V38" s="123">
        <v>0.02</v>
      </c>
      <c r="W38" s="123">
        <v>12.37</v>
      </c>
      <c r="X38" s="123">
        <v>0.02</v>
      </c>
      <c r="Y38" s="123">
        <v>12.37</v>
      </c>
      <c r="Z38" s="123">
        <v>0.03</v>
      </c>
      <c r="AA38" s="123">
        <v>12.5</v>
      </c>
      <c r="AB38" s="123">
        <v>0.04</v>
      </c>
      <c r="AC38" s="123">
        <v>12.37</v>
      </c>
      <c r="AD38" s="123">
        <v>0.01</v>
      </c>
      <c r="AE38" s="123">
        <v>12.37</v>
      </c>
      <c r="AF38" s="123">
        <v>0.03</v>
      </c>
      <c r="AG38" s="122">
        <v>12.42</v>
      </c>
      <c r="AH38" s="17" t="s">
        <v>51</v>
      </c>
      <c r="AI38" s="18" t="s">
        <v>62</v>
      </c>
      <c r="AJ38" s="62" t="s">
        <v>139</v>
      </c>
      <c r="AK38" s="62" t="s">
        <v>139</v>
      </c>
      <c r="AL38" s="62" t="s">
        <v>139</v>
      </c>
      <c r="AM38" s="62" t="s">
        <v>139</v>
      </c>
      <c r="AN38" s="62" t="s">
        <v>139</v>
      </c>
      <c r="AO38" s="62" t="s">
        <v>139</v>
      </c>
      <c r="AP38" s="62">
        <v>0</v>
      </c>
      <c r="AQ38" s="62">
        <v>0.72</v>
      </c>
      <c r="AR38" s="62" t="s">
        <v>139</v>
      </c>
      <c r="AS38" s="62" t="s">
        <v>139</v>
      </c>
      <c r="AT38" s="62">
        <v>0</v>
      </c>
      <c r="AU38" s="61">
        <v>0.72</v>
      </c>
    </row>
    <row r="39" spans="3:47" ht="41.25" thickBot="1" x14ac:dyDescent="0.35">
      <c r="C39" s="103" t="s">
        <v>33</v>
      </c>
      <c r="D39" s="123">
        <v>3933</v>
      </c>
      <c r="E39" s="123">
        <v>2438</v>
      </c>
      <c r="F39" s="123">
        <v>3127</v>
      </c>
      <c r="G39" s="123">
        <v>2556</v>
      </c>
      <c r="H39" s="123">
        <v>2418</v>
      </c>
      <c r="I39" s="122">
        <v>2725</v>
      </c>
      <c r="J39" s="114" t="s">
        <v>139</v>
      </c>
      <c r="K39" s="114" t="s">
        <v>139</v>
      </c>
      <c r="L39" s="114" t="s">
        <v>139</v>
      </c>
      <c r="M39" s="114" t="s">
        <v>139</v>
      </c>
      <c r="N39" s="114" t="s">
        <v>139</v>
      </c>
      <c r="O39" s="114">
        <v>0</v>
      </c>
      <c r="P39" s="115">
        <v>2.52</v>
      </c>
      <c r="S39" s="205"/>
      <c r="T39" s="103" t="s">
        <v>50</v>
      </c>
      <c r="U39" s="124" t="s">
        <v>166</v>
      </c>
      <c r="V39" s="123">
        <v>0</v>
      </c>
      <c r="W39" s="123">
        <v>0.72</v>
      </c>
      <c r="X39" s="123" t="s">
        <v>139</v>
      </c>
      <c r="Y39" s="123" t="s">
        <v>139</v>
      </c>
      <c r="Z39" s="123" t="s">
        <v>139</v>
      </c>
      <c r="AA39" s="123" t="s">
        <v>139</v>
      </c>
      <c r="AB39" s="123" t="s">
        <v>139</v>
      </c>
      <c r="AC39" s="123" t="s">
        <v>139</v>
      </c>
      <c r="AD39" s="123" t="s">
        <v>139</v>
      </c>
      <c r="AE39" s="123" t="s">
        <v>139</v>
      </c>
      <c r="AF39" s="123">
        <v>0</v>
      </c>
      <c r="AG39" s="122">
        <v>0.72</v>
      </c>
    </row>
    <row r="40" spans="3:47" ht="27" x14ac:dyDescent="0.3">
      <c r="C40" s="103" t="s">
        <v>126</v>
      </c>
      <c r="D40" s="123" t="s">
        <v>139</v>
      </c>
      <c r="E40" s="123" t="s">
        <v>139</v>
      </c>
      <c r="F40" s="123">
        <v>2659</v>
      </c>
      <c r="G40" s="123">
        <v>2666</v>
      </c>
      <c r="H40" s="123">
        <v>2693</v>
      </c>
      <c r="I40" s="122">
        <v>2669</v>
      </c>
      <c r="J40" s="114">
        <v>9.6999999999999993</v>
      </c>
      <c r="K40" s="114">
        <v>0.08</v>
      </c>
      <c r="L40" s="114">
        <v>9.74</v>
      </c>
      <c r="M40" s="114">
        <v>0.06</v>
      </c>
      <c r="N40" s="114">
        <v>-0.86</v>
      </c>
      <c r="O40" s="114">
        <v>0.05</v>
      </c>
      <c r="P40" s="115">
        <v>8.2899999999999991</v>
      </c>
      <c r="S40" s="34" t="s">
        <v>155</v>
      </c>
      <c r="T40" s="103" t="s">
        <v>50</v>
      </c>
      <c r="U40" s="124" t="s">
        <v>62</v>
      </c>
      <c r="V40" s="123" t="s">
        <v>139</v>
      </c>
      <c r="W40" s="123" t="s">
        <v>139</v>
      </c>
      <c r="X40" s="123">
        <v>0</v>
      </c>
      <c r="Y40" s="123">
        <v>1.71</v>
      </c>
      <c r="Z40" s="123" t="s">
        <v>139</v>
      </c>
      <c r="AA40" s="123" t="s">
        <v>139</v>
      </c>
      <c r="AB40" s="123" t="s">
        <v>139</v>
      </c>
      <c r="AC40" s="123" t="s">
        <v>139</v>
      </c>
      <c r="AD40" s="123" t="s">
        <v>139</v>
      </c>
      <c r="AE40" s="123" t="s">
        <v>139</v>
      </c>
      <c r="AF40" s="123">
        <v>0</v>
      </c>
      <c r="AG40" s="122">
        <v>1.71</v>
      </c>
    </row>
    <row r="41" spans="3:47" ht="15.75" x14ac:dyDescent="0.3">
      <c r="C41" s="103" t="s">
        <v>34</v>
      </c>
      <c r="D41" s="123">
        <v>3343</v>
      </c>
      <c r="E41" s="123">
        <v>3260</v>
      </c>
      <c r="F41" s="123">
        <v>3751</v>
      </c>
      <c r="G41" s="123">
        <v>3474</v>
      </c>
      <c r="H41" s="123">
        <v>3396</v>
      </c>
      <c r="I41" s="122">
        <v>3527</v>
      </c>
      <c r="J41" s="114" t="s">
        <v>139</v>
      </c>
      <c r="K41" s="114" t="s">
        <v>139</v>
      </c>
      <c r="L41" s="114" t="s">
        <v>139</v>
      </c>
      <c r="M41" s="114" t="s">
        <v>139</v>
      </c>
      <c r="N41" s="114" t="s">
        <v>139</v>
      </c>
      <c r="O41" s="114">
        <v>0</v>
      </c>
      <c r="P41" s="115">
        <v>0.32</v>
      </c>
      <c r="S41" s="5" t="s">
        <v>156</v>
      </c>
      <c r="T41" s="103" t="s">
        <v>50</v>
      </c>
      <c r="U41" s="124" t="s">
        <v>61</v>
      </c>
      <c r="V41" s="123">
        <v>0.34</v>
      </c>
      <c r="W41" s="123">
        <v>6.18</v>
      </c>
      <c r="X41" s="123">
        <v>0.82</v>
      </c>
      <c r="Y41" s="123">
        <v>3.95</v>
      </c>
      <c r="Z41" s="123">
        <v>1.1399999999999999</v>
      </c>
      <c r="AA41" s="123">
        <v>4.08</v>
      </c>
      <c r="AB41" s="123">
        <v>1.26</v>
      </c>
      <c r="AC41" s="123">
        <v>2.2599999999999998</v>
      </c>
      <c r="AD41" s="123">
        <v>1.29</v>
      </c>
      <c r="AE41" s="123">
        <v>4.25</v>
      </c>
      <c r="AF41" s="123">
        <v>0.99</v>
      </c>
      <c r="AG41" s="122">
        <v>3.83</v>
      </c>
    </row>
    <row r="42" spans="3:47" ht="27.75" thickBot="1" x14ac:dyDescent="0.35">
      <c r="C42" s="103" t="s">
        <v>35</v>
      </c>
      <c r="D42" s="123">
        <v>5395</v>
      </c>
      <c r="E42" s="123">
        <v>3856</v>
      </c>
      <c r="F42" s="123">
        <v>4353</v>
      </c>
      <c r="G42" s="123">
        <v>3955</v>
      </c>
      <c r="H42" s="123">
        <v>3646</v>
      </c>
      <c r="I42" s="122">
        <v>4026</v>
      </c>
      <c r="J42" s="114" t="s">
        <v>139</v>
      </c>
      <c r="K42" s="114" t="s">
        <v>139</v>
      </c>
      <c r="L42" s="114" t="s">
        <v>139</v>
      </c>
      <c r="M42" s="114" t="s">
        <v>139</v>
      </c>
      <c r="N42" s="114" t="s">
        <v>139</v>
      </c>
      <c r="O42" s="114">
        <v>0</v>
      </c>
      <c r="P42" s="115">
        <v>1.63</v>
      </c>
      <c r="S42" s="5" t="s">
        <v>157</v>
      </c>
      <c r="T42" s="112" t="s">
        <v>50</v>
      </c>
      <c r="U42" s="113" t="s">
        <v>57</v>
      </c>
      <c r="V42" s="107">
        <v>0.64</v>
      </c>
      <c r="W42" s="107">
        <v>0.73</v>
      </c>
      <c r="X42" s="107">
        <v>0.31</v>
      </c>
      <c r="Y42" s="107">
        <v>0.56999999999999995</v>
      </c>
      <c r="Z42" s="107">
        <v>1.04</v>
      </c>
      <c r="AA42" s="107">
        <v>0.55000000000000004</v>
      </c>
      <c r="AB42" s="107">
        <v>0.44</v>
      </c>
      <c r="AC42" s="107">
        <v>1.02</v>
      </c>
      <c r="AD42" s="107">
        <v>0.49</v>
      </c>
      <c r="AE42" s="107">
        <v>1.27</v>
      </c>
      <c r="AF42" s="107">
        <v>0.68</v>
      </c>
      <c r="AG42" s="108">
        <v>0.7</v>
      </c>
    </row>
    <row r="43" spans="3:47" ht="41.25" thickBot="1" x14ac:dyDescent="0.35">
      <c r="C43" s="103" t="s">
        <v>36</v>
      </c>
      <c r="D43" s="123">
        <v>4917</v>
      </c>
      <c r="E43" s="123">
        <v>3697</v>
      </c>
      <c r="F43" s="123">
        <v>4197</v>
      </c>
      <c r="G43" s="123">
        <v>3825</v>
      </c>
      <c r="H43" s="123">
        <v>3574</v>
      </c>
      <c r="I43" s="122">
        <v>3892</v>
      </c>
      <c r="J43" s="114">
        <v>0.89</v>
      </c>
      <c r="K43" s="114">
        <v>0.72</v>
      </c>
      <c r="L43" s="114">
        <v>-1.1299999999999999</v>
      </c>
      <c r="M43" s="114">
        <v>0.63</v>
      </c>
      <c r="N43" s="114">
        <v>1.6</v>
      </c>
      <c r="O43" s="114">
        <v>0.46</v>
      </c>
      <c r="P43" s="115">
        <v>0.98</v>
      </c>
      <c r="S43" s="4" t="s">
        <v>111</v>
      </c>
      <c r="T43" s="112" t="s">
        <v>50</v>
      </c>
      <c r="U43" s="113" t="s">
        <v>57</v>
      </c>
      <c r="V43" s="107">
        <v>1.04</v>
      </c>
      <c r="W43" s="107">
        <v>0.42</v>
      </c>
      <c r="X43" s="107">
        <v>0.49</v>
      </c>
      <c r="Y43" s="107">
        <v>0.57999999999999996</v>
      </c>
      <c r="Z43" s="107">
        <v>0.97</v>
      </c>
      <c r="AA43" s="107">
        <v>0.5</v>
      </c>
      <c r="AB43" s="107">
        <v>0.48</v>
      </c>
      <c r="AC43" s="107">
        <v>0.92</v>
      </c>
      <c r="AD43" s="107">
        <v>0.24</v>
      </c>
      <c r="AE43" s="107">
        <v>0.63</v>
      </c>
      <c r="AF43" s="107">
        <v>0.71</v>
      </c>
      <c r="AG43" s="108">
        <v>0.54</v>
      </c>
    </row>
    <row r="44" spans="3:47" ht="16.5" thickBot="1" x14ac:dyDescent="0.35">
      <c r="C44" s="103" t="s">
        <v>37</v>
      </c>
      <c r="D44" s="123">
        <v>656</v>
      </c>
      <c r="E44" s="123">
        <v>499</v>
      </c>
      <c r="F44" s="123">
        <v>453</v>
      </c>
      <c r="G44" s="123">
        <v>559</v>
      </c>
      <c r="H44" s="123">
        <v>869</v>
      </c>
      <c r="I44" s="122">
        <v>573</v>
      </c>
      <c r="J44" s="62">
        <v>0.47</v>
      </c>
      <c r="K44" s="62">
        <v>0.41</v>
      </c>
      <c r="L44" s="62">
        <v>0.42</v>
      </c>
      <c r="M44" s="62">
        <v>1.1299999999999999</v>
      </c>
      <c r="N44" s="62">
        <v>0.14000000000000001</v>
      </c>
      <c r="O44" s="62">
        <v>0.4</v>
      </c>
      <c r="P44" s="61">
        <v>0.32</v>
      </c>
      <c r="S44" s="5" t="s">
        <v>156</v>
      </c>
      <c r="T44" s="112" t="s">
        <v>50</v>
      </c>
      <c r="U44" s="113" t="s">
        <v>57</v>
      </c>
      <c r="V44" s="107">
        <v>0.99</v>
      </c>
      <c r="W44" s="107">
        <v>0.65</v>
      </c>
      <c r="X44" s="107">
        <v>0.92</v>
      </c>
      <c r="Y44" s="107">
        <v>1.35</v>
      </c>
      <c r="Z44" s="107">
        <v>0.82</v>
      </c>
      <c r="AA44" s="107">
        <v>1.57</v>
      </c>
      <c r="AB44" s="107">
        <v>0.93</v>
      </c>
      <c r="AC44" s="107">
        <v>1.49</v>
      </c>
      <c r="AD44" s="107">
        <v>0.61</v>
      </c>
      <c r="AE44" s="107">
        <v>1.33</v>
      </c>
      <c r="AF44" s="107">
        <v>0.85</v>
      </c>
      <c r="AG44" s="108">
        <v>1.33</v>
      </c>
    </row>
    <row r="45" spans="3:47" ht="27.75" thickBot="1" x14ac:dyDescent="0.35">
      <c r="C45" s="103" t="s">
        <v>38</v>
      </c>
      <c r="D45" s="123">
        <v>1799</v>
      </c>
      <c r="E45" s="123">
        <v>1828</v>
      </c>
      <c r="F45" s="123">
        <v>2186</v>
      </c>
      <c r="G45" s="123">
        <v>2099</v>
      </c>
      <c r="H45" s="123">
        <v>2405</v>
      </c>
      <c r="I45" s="122">
        <v>2171</v>
      </c>
      <c r="J45" s="62">
        <v>0.81</v>
      </c>
      <c r="K45" s="62">
        <v>0.46</v>
      </c>
      <c r="L45" s="62">
        <v>0.77</v>
      </c>
      <c r="M45" s="62">
        <v>0.96</v>
      </c>
      <c r="N45" s="62">
        <v>0.26</v>
      </c>
      <c r="O45" s="62">
        <v>0.41</v>
      </c>
      <c r="P45" s="61">
        <v>0.65</v>
      </c>
      <c r="S45" s="5" t="s">
        <v>157</v>
      </c>
      <c r="T45" s="83">
        <v>0.01</v>
      </c>
      <c r="U45" s="83">
        <v>0.03</v>
      </c>
      <c r="V45" s="83">
        <v>0.05</v>
      </c>
      <c r="W45" s="83">
        <v>0.04</v>
      </c>
      <c r="X45" s="83">
        <v>0.02</v>
      </c>
      <c r="Y45" s="81">
        <v>0.03</v>
      </c>
    </row>
    <row r="46" spans="3:47" ht="27" x14ac:dyDescent="0.3">
      <c r="C46" s="103" t="s">
        <v>39</v>
      </c>
      <c r="D46" s="123">
        <v>703</v>
      </c>
      <c r="E46" s="123">
        <v>541</v>
      </c>
      <c r="F46" s="123">
        <v>503</v>
      </c>
      <c r="G46" s="123">
        <v>742</v>
      </c>
      <c r="H46" s="123">
        <v>1029</v>
      </c>
      <c r="I46" s="122">
        <v>687</v>
      </c>
      <c r="J46" s="73"/>
      <c r="K46" s="5" t="s">
        <v>38</v>
      </c>
      <c r="S46" s="4" t="s">
        <v>112</v>
      </c>
      <c r="T46" s="83">
        <v>1.04</v>
      </c>
      <c r="U46" s="83">
        <v>2.16</v>
      </c>
      <c r="V46" s="83">
        <v>3.55</v>
      </c>
      <c r="W46" s="83">
        <v>4.08</v>
      </c>
      <c r="X46" s="83">
        <v>3.73</v>
      </c>
      <c r="Y46" s="81">
        <v>2.96</v>
      </c>
    </row>
    <row r="47" spans="3:47" ht="40.5" x14ac:dyDescent="0.3">
      <c r="C47" s="105" t="s">
        <v>40</v>
      </c>
      <c r="D47" s="123">
        <v>4414</v>
      </c>
      <c r="E47" s="123">
        <v>3362</v>
      </c>
      <c r="F47" s="123">
        <v>3905</v>
      </c>
      <c r="G47" s="123">
        <v>3500</v>
      </c>
      <c r="H47" s="123">
        <v>3258</v>
      </c>
      <c r="I47" s="122">
        <v>3578</v>
      </c>
      <c r="J47" s="73"/>
      <c r="S47" s="5" t="s">
        <v>156</v>
      </c>
      <c r="T47" s="83">
        <v>1.04</v>
      </c>
      <c r="U47" s="83">
        <v>2.16</v>
      </c>
      <c r="V47" s="83">
        <v>3.55</v>
      </c>
      <c r="W47" s="83">
        <v>4.08</v>
      </c>
      <c r="X47" s="83">
        <v>3.73</v>
      </c>
      <c r="Y47" s="81">
        <v>2.96</v>
      </c>
    </row>
    <row r="48" spans="3:47" ht="27" x14ac:dyDescent="0.3">
      <c r="C48" s="103" t="s">
        <v>167</v>
      </c>
      <c r="D48" s="123">
        <v>35794</v>
      </c>
      <c r="E48" s="123">
        <v>35794</v>
      </c>
      <c r="F48" s="123">
        <v>35794</v>
      </c>
      <c r="G48" s="123">
        <v>35794</v>
      </c>
      <c r="H48" s="123" t="s">
        <v>139</v>
      </c>
      <c r="I48" s="122">
        <v>35794</v>
      </c>
      <c r="J48" s="73"/>
      <c r="S48" s="5" t="s">
        <v>157</v>
      </c>
      <c r="T48" s="83" t="s">
        <v>139</v>
      </c>
      <c r="U48" s="83" t="s">
        <v>139</v>
      </c>
      <c r="V48" s="83" t="s">
        <v>139</v>
      </c>
      <c r="W48" s="83" t="s">
        <v>139</v>
      </c>
      <c r="X48" s="83" t="s">
        <v>139</v>
      </c>
      <c r="Y48" s="81" t="s">
        <v>139</v>
      </c>
    </row>
    <row r="49" spans="3:25" ht="27" x14ac:dyDescent="0.3">
      <c r="C49" s="103" t="s">
        <v>41</v>
      </c>
      <c r="D49" s="123">
        <v>1422</v>
      </c>
      <c r="E49" s="123">
        <v>1200</v>
      </c>
      <c r="F49" s="123">
        <v>1216</v>
      </c>
      <c r="G49" s="123">
        <v>1314</v>
      </c>
      <c r="H49" s="123">
        <v>1206</v>
      </c>
      <c r="I49" s="122">
        <v>1248</v>
      </c>
      <c r="J49" s="73"/>
      <c r="K49" s="5" t="s">
        <v>41</v>
      </c>
      <c r="S49" s="4" t="s">
        <v>113</v>
      </c>
      <c r="T49" s="83">
        <v>0.37</v>
      </c>
      <c r="U49" s="83">
        <v>0.56999999999999995</v>
      </c>
      <c r="V49" s="83">
        <v>0.96</v>
      </c>
      <c r="W49" s="83">
        <v>1.01</v>
      </c>
      <c r="X49" s="83">
        <v>1.06</v>
      </c>
      <c r="Y49" s="81">
        <v>0.81</v>
      </c>
    </row>
    <row r="50" spans="3:25" ht="15.75" x14ac:dyDescent="0.3">
      <c r="C50" s="103" t="s">
        <v>42</v>
      </c>
      <c r="D50" s="123">
        <v>3372</v>
      </c>
      <c r="E50" s="123">
        <v>3149</v>
      </c>
      <c r="F50" s="123">
        <v>3048</v>
      </c>
      <c r="G50" s="123">
        <v>3091</v>
      </c>
      <c r="H50" s="123">
        <v>3417</v>
      </c>
      <c r="I50" s="122">
        <v>3156</v>
      </c>
      <c r="J50" s="73"/>
      <c r="K50" s="5" t="s">
        <v>42</v>
      </c>
      <c r="S50" s="5" t="s">
        <v>156</v>
      </c>
      <c r="T50" s="83">
        <v>0.04</v>
      </c>
      <c r="U50" s="83">
        <v>0.19</v>
      </c>
      <c r="V50" s="83">
        <v>0.5</v>
      </c>
      <c r="W50" s="83">
        <v>0.51</v>
      </c>
      <c r="X50" s="83">
        <v>0.66</v>
      </c>
      <c r="Y50" s="81">
        <v>0.38</v>
      </c>
    </row>
    <row r="51" spans="3:25" ht="27" x14ac:dyDescent="0.3">
      <c r="C51" s="105" t="s">
        <v>43</v>
      </c>
      <c r="D51" s="123">
        <v>3335</v>
      </c>
      <c r="E51" s="123">
        <v>3267</v>
      </c>
      <c r="F51" s="123">
        <v>3066</v>
      </c>
      <c r="G51" s="123">
        <v>3107</v>
      </c>
      <c r="H51" s="123">
        <v>3408</v>
      </c>
      <c r="I51" s="122">
        <v>3175</v>
      </c>
      <c r="J51" s="73"/>
      <c r="K51" s="4" t="s">
        <v>43</v>
      </c>
      <c r="S51" s="5" t="s">
        <v>157</v>
      </c>
      <c r="T51" s="83">
        <v>0.33</v>
      </c>
      <c r="U51" s="83">
        <v>0.38</v>
      </c>
      <c r="V51" s="83">
        <v>0.46</v>
      </c>
      <c r="W51" s="83">
        <v>0.51</v>
      </c>
      <c r="X51" s="83">
        <v>0.4</v>
      </c>
      <c r="Y51" s="81">
        <v>0.42</v>
      </c>
    </row>
    <row r="52" spans="3:25" ht="15.75" x14ac:dyDescent="0.3">
      <c r="C52" s="103" t="s">
        <v>44</v>
      </c>
      <c r="D52" s="123">
        <v>2550</v>
      </c>
      <c r="E52" s="123">
        <v>2285</v>
      </c>
      <c r="F52" s="123">
        <v>2176</v>
      </c>
      <c r="G52" s="123">
        <v>2032</v>
      </c>
      <c r="H52" s="123">
        <v>2242</v>
      </c>
      <c r="I52" s="122">
        <v>2179</v>
      </c>
      <c r="K52" s="56" t="s">
        <v>44</v>
      </c>
      <c r="S52" s="4" t="s">
        <v>129</v>
      </c>
      <c r="T52" s="83" t="s">
        <v>139</v>
      </c>
      <c r="U52" s="83">
        <v>0</v>
      </c>
      <c r="V52" s="83">
        <v>0.05</v>
      </c>
      <c r="W52" s="83">
        <v>0.06</v>
      </c>
      <c r="X52" s="83" t="s">
        <v>139</v>
      </c>
      <c r="Y52" s="81">
        <v>0.03</v>
      </c>
    </row>
    <row r="53" spans="3:25" ht="15.75" x14ac:dyDescent="0.3">
      <c r="C53" s="103" t="s">
        <v>152</v>
      </c>
      <c r="D53" s="123">
        <v>2152</v>
      </c>
      <c r="E53" s="123">
        <v>2152</v>
      </c>
      <c r="F53" s="123">
        <v>2478</v>
      </c>
      <c r="G53" s="123">
        <v>2401</v>
      </c>
      <c r="H53" s="123">
        <v>2152</v>
      </c>
      <c r="I53" s="122">
        <v>2393</v>
      </c>
      <c r="K53" s="56" t="s">
        <v>45</v>
      </c>
      <c r="S53" s="5" t="s">
        <v>156</v>
      </c>
      <c r="T53" s="83" t="s">
        <v>139</v>
      </c>
      <c r="U53" s="83">
        <v>0</v>
      </c>
      <c r="V53" s="83">
        <v>0.05</v>
      </c>
      <c r="W53" s="83">
        <v>0.06</v>
      </c>
      <c r="X53" s="83" t="s">
        <v>139</v>
      </c>
      <c r="Y53" s="81">
        <v>0.03</v>
      </c>
    </row>
    <row r="54" spans="3:25" ht="27" x14ac:dyDescent="0.3">
      <c r="C54" s="103" t="s">
        <v>45</v>
      </c>
      <c r="D54" s="123">
        <v>4347</v>
      </c>
      <c r="E54" s="123">
        <v>4334</v>
      </c>
      <c r="F54" s="123">
        <v>3791</v>
      </c>
      <c r="G54" s="123">
        <v>3864</v>
      </c>
      <c r="H54" s="123">
        <v>4204</v>
      </c>
      <c r="I54" s="122">
        <v>3999</v>
      </c>
      <c r="K54" s="56" t="s">
        <v>152</v>
      </c>
      <c r="S54" s="5" t="s">
        <v>157</v>
      </c>
      <c r="T54" s="83" t="s">
        <v>139</v>
      </c>
      <c r="U54" s="83" t="s">
        <v>139</v>
      </c>
      <c r="V54" s="83" t="s">
        <v>139</v>
      </c>
      <c r="W54" s="83" t="s">
        <v>139</v>
      </c>
      <c r="X54" s="83" t="s">
        <v>139</v>
      </c>
      <c r="Y54" s="81" t="s">
        <v>139</v>
      </c>
    </row>
    <row r="55" spans="3:25" ht="15.75" x14ac:dyDescent="0.3">
      <c r="C55" s="103" t="s">
        <v>46</v>
      </c>
      <c r="D55" s="123">
        <v>77</v>
      </c>
      <c r="E55" s="123">
        <v>188</v>
      </c>
      <c r="F55" s="123">
        <v>296</v>
      </c>
      <c r="G55" s="123">
        <v>236</v>
      </c>
      <c r="H55" s="123">
        <v>282</v>
      </c>
      <c r="I55" s="122">
        <v>238</v>
      </c>
      <c r="K55" s="5" t="s">
        <v>46</v>
      </c>
      <c r="S55" s="4" t="s">
        <v>158</v>
      </c>
      <c r="T55" s="83" t="s">
        <v>139</v>
      </c>
      <c r="U55" s="83" t="s">
        <v>139</v>
      </c>
      <c r="V55" s="83" t="s">
        <v>139</v>
      </c>
      <c r="W55" s="83" t="s">
        <v>139</v>
      </c>
      <c r="X55" s="83" t="s">
        <v>139</v>
      </c>
      <c r="Y55" s="81" t="s">
        <v>139</v>
      </c>
    </row>
    <row r="56" spans="3:25" ht="15.75" x14ac:dyDescent="0.3">
      <c r="C56" s="103" t="s">
        <v>47</v>
      </c>
      <c r="D56" s="123">
        <v>1576</v>
      </c>
      <c r="E56" s="123">
        <v>1421</v>
      </c>
      <c r="F56" s="123">
        <v>1352</v>
      </c>
      <c r="G56" s="123">
        <v>1456</v>
      </c>
      <c r="H56" s="123">
        <v>1526</v>
      </c>
      <c r="I56" s="122">
        <v>1410</v>
      </c>
      <c r="K56" s="5" t="s">
        <v>47</v>
      </c>
      <c r="S56" s="5" t="s">
        <v>156</v>
      </c>
      <c r="T56" s="83" t="s">
        <v>139</v>
      </c>
      <c r="U56" s="83" t="s">
        <v>139</v>
      </c>
      <c r="V56" s="83" t="s">
        <v>139</v>
      </c>
      <c r="W56" s="83" t="s">
        <v>139</v>
      </c>
      <c r="X56" s="83" t="s">
        <v>139</v>
      </c>
      <c r="Y56" s="81" t="s">
        <v>139</v>
      </c>
    </row>
    <row r="57" spans="3:25" ht="54" x14ac:dyDescent="0.3">
      <c r="C57" s="105" t="s">
        <v>48</v>
      </c>
      <c r="D57" s="123">
        <v>930</v>
      </c>
      <c r="E57" s="123">
        <v>1523</v>
      </c>
      <c r="F57" s="123">
        <v>1856</v>
      </c>
      <c r="G57" s="123">
        <v>1332</v>
      </c>
      <c r="H57" s="123">
        <v>1445</v>
      </c>
      <c r="I57" s="122">
        <v>1527</v>
      </c>
      <c r="K57" s="4" t="s">
        <v>48</v>
      </c>
      <c r="S57" s="5" t="s">
        <v>157</v>
      </c>
      <c r="T57" s="83" t="s">
        <v>139</v>
      </c>
      <c r="U57" s="83" t="s">
        <v>139</v>
      </c>
      <c r="V57" s="83" t="s">
        <v>139</v>
      </c>
      <c r="W57" s="83" t="s">
        <v>139</v>
      </c>
      <c r="X57" s="83" t="s">
        <v>139</v>
      </c>
      <c r="Y57" s="81" t="s">
        <v>139</v>
      </c>
    </row>
    <row r="58" spans="3:25" ht="15.75" x14ac:dyDescent="0.3">
      <c r="C58" s="103" t="s">
        <v>49</v>
      </c>
      <c r="D58" s="123">
        <v>7085</v>
      </c>
      <c r="E58" s="123">
        <v>4177</v>
      </c>
      <c r="F58" s="123">
        <v>4562</v>
      </c>
      <c r="G58" s="123">
        <v>3545</v>
      </c>
      <c r="H58" s="123">
        <v>3177</v>
      </c>
      <c r="I58" s="122">
        <v>4156</v>
      </c>
      <c r="K58" s="5" t="s">
        <v>49</v>
      </c>
      <c r="S58" s="4" t="s">
        <v>123</v>
      </c>
      <c r="T58" s="83">
        <v>0.02</v>
      </c>
      <c r="U58" s="83">
        <v>0.06</v>
      </c>
      <c r="V58" s="83">
        <v>7.0000000000000007E-2</v>
      </c>
      <c r="W58" s="83">
        <v>0.06</v>
      </c>
      <c r="X58" s="83">
        <v>0.06</v>
      </c>
      <c r="Y58" s="81">
        <v>0.06</v>
      </c>
    </row>
    <row r="59" spans="3:25" ht="15.75" x14ac:dyDescent="0.3">
      <c r="C59" s="103" t="s">
        <v>50</v>
      </c>
      <c r="D59" s="123">
        <v>1311</v>
      </c>
      <c r="E59" s="123">
        <v>1833</v>
      </c>
      <c r="F59" s="123">
        <v>1612</v>
      </c>
      <c r="G59" s="123">
        <v>2284</v>
      </c>
      <c r="H59" s="123">
        <v>2179</v>
      </c>
      <c r="I59" s="122">
        <v>1801</v>
      </c>
      <c r="K59" s="5" t="s">
        <v>50</v>
      </c>
      <c r="S59" s="5" t="s">
        <v>156</v>
      </c>
      <c r="T59" s="83">
        <v>0.02</v>
      </c>
      <c r="U59" s="83">
        <v>0.06</v>
      </c>
      <c r="V59" s="83">
        <v>7.0000000000000007E-2</v>
      </c>
      <c r="W59" s="83">
        <v>0.06</v>
      </c>
      <c r="X59" s="83">
        <v>0.06</v>
      </c>
      <c r="Y59" s="81">
        <v>0.06</v>
      </c>
    </row>
    <row r="60" spans="3:25" ht="27" x14ac:dyDescent="0.3">
      <c r="C60" s="105" t="s">
        <v>52</v>
      </c>
      <c r="D60" s="123">
        <v>1367</v>
      </c>
      <c r="E60" s="123">
        <v>1934</v>
      </c>
      <c r="F60" s="123">
        <v>1695</v>
      </c>
      <c r="G60" s="123">
        <v>2347</v>
      </c>
      <c r="H60" s="123">
        <v>2201</v>
      </c>
      <c r="I60" s="122">
        <v>1874</v>
      </c>
      <c r="K60" s="5" t="s">
        <v>51</v>
      </c>
      <c r="S60" s="5" t="s">
        <v>157</v>
      </c>
      <c r="T60" s="83" t="s">
        <v>139</v>
      </c>
      <c r="U60" s="83" t="s">
        <v>139</v>
      </c>
      <c r="V60" s="83" t="s">
        <v>139</v>
      </c>
      <c r="W60" s="83" t="s">
        <v>139</v>
      </c>
      <c r="X60" s="83" t="s">
        <v>139</v>
      </c>
      <c r="Y60" s="81" t="s">
        <v>139</v>
      </c>
    </row>
    <row r="61" spans="3:25" ht="27.75" thickBot="1" x14ac:dyDescent="0.35">
      <c r="C61" s="106" t="s">
        <v>141</v>
      </c>
      <c r="D61" s="107">
        <v>1636</v>
      </c>
      <c r="E61" s="107">
        <v>2580</v>
      </c>
      <c r="F61" s="107">
        <v>3015</v>
      </c>
      <c r="G61" s="107">
        <v>2672</v>
      </c>
      <c r="H61" s="107">
        <v>2593</v>
      </c>
      <c r="I61" s="108">
        <v>2733</v>
      </c>
      <c r="S61" s="4" t="s">
        <v>159</v>
      </c>
      <c r="T61" s="83" t="s">
        <v>139</v>
      </c>
      <c r="U61" s="83" t="s">
        <v>139</v>
      </c>
      <c r="V61" s="83" t="s">
        <v>139</v>
      </c>
      <c r="W61" s="83" t="s">
        <v>139</v>
      </c>
      <c r="X61" s="83" t="s">
        <v>139</v>
      </c>
      <c r="Y61" s="81" t="s">
        <v>139</v>
      </c>
    </row>
    <row r="62" spans="3:25" ht="27.75" thickBot="1" x14ac:dyDescent="0.35">
      <c r="C62" s="106" t="s">
        <v>141</v>
      </c>
      <c r="D62" s="107">
        <v>2549</v>
      </c>
      <c r="E62" s="107">
        <v>2708</v>
      </c>
      <c r="F62" s="107">
        <v>3075</v>
      </c>
      <c r="G62" s="107">
        <v>2690</v>
      </c>
      <c r="H62" s="107">
        <v>2436</v>
      </c>
      <c r="I62" s="108">
        <v>2754</v>
      </c>
      <c r="S62" s="5" t="s">
        <v>156</v>
      </c>
      <c r="T62" s="83" t="s">
        <v>139</v>
      </c>
      <c r="U62" s="83" t="s">
        <v>139</v>
      </c>
      <c r="V62" s="83" t="s">
        <v>139</v>
      </c>
      <c r="W62" s="83" t="s">
        <v>139</v>
      </c>
      <c r="X62" s="83" t="s">
        <v>139</v>
      </c>
      <c r="Y62" s="81" t="s">
        <v>139</v>
      </c>
    </row>
    <row r="63" spans="3:25" ht="27.75" thickBot="1" x14ac:dyDescent="0.35">
      <c r="S63" s="5" t="s">
        <v>157</v>
      </c>
      <c r="T63" s="83" t="s">
        <v>139</v>
      </c>
      <c r="U63" s="83" t="s">
        <v>139</v>
      </c>
      <c r="V63" s="83" t="s">
        <v>139</v>
      </c>
      <c r="W63" s="83" t="s">
        <v>139</v>
      </c>
      <c r="X63" s="83" t="s">
        <v>139</v>
      </c>
      <c r="Y63" s="81" t="s">
        <v>139</v>
      </c>
    </row>
    <row r="64" spans="3:25" ht="27" x14ac:dyDescent="0.3">
      <c r="C64" s="109" t="s">
        <v>63</v>
      </c>
      <c r="D64" s="101">
        <v>1927</v>
      </c>
      <c r="E64" s="101">
        <v>1819</v>
      </c>
      <c r="F64" s="101">
        <v>1840</v>
      </c>
      <c r="G64" s="101">
        <v>1788</v>
      </c>
      <c r="H64" s="101">
        <v>1824</v>
      </c>
      <c r="I64" s="102">
        <v>1822</v>
      </c>
      <c r="S64" s="4" t="s">
        <v>160</v>
      </c>
      <c r="T64" s="83" t="s">
        <v>139</v>
      </c>
      <c r="U64" s="83" t="s">
        <v>139</v>
      </c>
      <c r="V64" s="83" t="s">
        <v>139</v>
      </c>
      <c r="W64" s="83" t="s">
        <v>139</v>
      </c>
      <c r="X64" s="83" t="s">
        <v>139</v>
      </c>
      <c r="Y64" s="81" t="s">
        <v>139</v>
      </c>
    </row>
    <row r="65" spans="3:25" ht="15.75" x14ac:dyDescent="0.3">
      <c r="C65" s="103" t="s">
        <v>30</v>
      </c>
      <c r="D65" s="98">
        <v>3142</v>
      </c>
      <c r="E65" s="98">
        <v>2619</v>
      </c>
      <c r="F65" s="98">
        <v>3504</v>
      </c>
      <c r="G65" s="98">
        <v>2750</v>
      </c>
      <c r="H65" s="98">
        <v>2499</v>
      </c>
      <c r="I65" s="104">
        <v>2942</v>
      </c>
      <c r="S65" s="5" t="s">
        <v>156</v>
      </c>
      <c r="T65" s="83" t="s">
        <v>139</v>
      </c>
      <c r="U65" s="83" t="s">
        <v>139</v>
      </c>
      <c r="V65" s="83" t="s">
        <v>139</v>
      </c>
      <c r="W65" s="83" t="s">
        <v>139</v>
      </c>
      <c r="X65" s="83" t="s">
        <v>139</v>
      </c>
      <c r="Y65" s="81" t="s">
        <v>139</v>
      </c>
    </row>
    <row r="66" spans="3:25" ht="27" x14ac:dyDescent="0.3">
      <c r="C66" s="103" t="s">
        <v>31</v>
      </c>
      <c r="D66" s="98">
        <v>1126</v>
      </c>
      <c r="E66" s="98">
        <v>1021</v>
      </c>
      <c r="F66" s="98">
        <v>1287</v>
      </c>
      <c r="G66" s="98">
        <v>712</v>
      </c>
      <c r="H66" s="98">
        <v>760</v>
      </c>
      <c r="I66" s="104">
        <v>1084</v>
      </c>
      <c r="S66" s="5" t="s">
        <v>157</v>
      </c>
      <c r="T66" s="83" t="s">
        <v>139</v>
      </c>
      <c r="U66" s="83" t="s">
        <v>139</v>
      </c>
      <c r="V66" s="83" t="s">
        <v>139</v>
      </c>
      <c r="W66" s="83" t="s">
        <v>139</v>
      </c>
      <c r="X66" s="83" t="s">
        <v>139</v>
      </c>
      <c r="Y66" s="81" t="s">
        <v>139</v>
      </c>
    </row>
    <row r="67" spans="3:25" ht="15.75" x14ac:dyDescent="0.3">
      <c r="C67" s="103" t="s">
        <v>119</v>
      </c>
      <c r="D67" s="98">
        <v>31</v>
      </c>
      <c r="E67" s="98">
        <v>28</v>
      </c>
      <c r="F67" s="98">
        <v>17</v>
      </c>
      <c r="G67" s="98">
        <v>28</v>
      </c>
      <c r="H67" s="98">
        <v>30</v>
      </c>
      <c r="I67" s="104">
        <v>28</v>
      </c>
      <c r="S67" s="4" t="s">
        <v>137</v>
      </c>
      <c r="T67" s="83">
        <v>8.48</v>
      </c>
      <c r="U67" s="83">
        <v>24.44</v>
      </c>
      <c r="V67" s="83">
        <v>42.75</v>
      </c>
      <c r="W67" s="83">
        <v>60.92</v>
      </c>
      <c r="X67" s="83">
        <v>78.650000000000006</v>
      </c>
      <c r="Y67" s="81">
        <v>40.479999999999997</v>
      </c>
    </row>
    <row r="68" spans="3:25" ht="15.75" x14ac:dyDescent="0.3">
      <c r="C68" s="103" t="s">
        <v>32</v>
      </c>
      <c r="D68" s="98">
        <v>1040</v>
      </c>
      <c r="E68" s="98">
        <v>1027</v>
      </c>
      <c r="F68" s="98">
        <v>612</v>
      </c>
      <c r="G68" s="98">
        <v>895</v>
      </c>
      <c r="H68" s="98">
        <v>936</v>
      </c>
      <c r="I68" s="104">
        <v>817</v>
      </c>
      <c r="S68" s="5" t="s">
        <v>156</v>
      </c>
      <c r="T68" s="83">
        <v>8.0399999999999991</v>
      </c>
      <c r="U68" s="83">
        <v>23.94</v>
      </c>
      <c r="V68" s="83">
        <v>42.15</v>
      </c>
      <c r="W68" s="83">
        <v>60.28</v>
      </c>
      <c r="X68" s="83">
        <v>78.150000000000006</v>
      </c>
      <c r="Y68" s="81">
        <v>39.93</v>
      </c>
    </row>
    <row r="69" spans="3:25" ht="41.25" thickBot="1" x14ac:dyDescent="0.35">
      <c r="C69" s="103" t="s">
        <v>33</v>
      </c>
      <c r="D69" s="98">
        <v>2576</v>
      </c>
      <c r="E69" s="98">
        <v>2449</v>
      </c>
      <c r="F69" s="98">
        <v>3193</v>
      </c>
      <c r="G69" s="98">
        <v>2503</v>
      </c>
      <c r="H69" s="98">
        <v>2262</v>
      </c>
      <c r="I69" s="104">
        <v>2667</v>
      </c>
      <c r="S69" s="17" t="s">
        <v>157</v>
      </c>
      <c r="T69" s="62">
        <v>0.44</v>
      </c>
      <c r="U69" s="62">
        <v>0.5</v>
      </c>
      <c r="V69" s="62">
        <v>0.6</v>
      </c>
      <c r="W69" s="62">
        <v>0.64</v>
      </c>
      <c r="X69" s="62">
        <v>0.5</v>
      </c>
      <c r="Y69" s="61">
        <v>0.55000000000000004</v>
      </c>
    </row>
    <row r="70" spans="3:25" x14ac:dyDescent="0.25">
      <c r="C70" s="103" t="s">
        <v>126</v>
      </c>
      <c r="D70" s="98" t="s">
        <v>139</v>
      </c>
      <c r="E70" s="98">
        <v>3038</v>
      </c>
      <c r="F70" s="98">
        <v>2799</v>
      </c>
      <c r="G70" s="98">
        <v>2816</v>
      </c>
      <c r="H70" s="98">
        <v>2841</v>
      </c>
      <c r="I70" s="104">
        <v>2817</v>
      </c>
    </row>
    <row r="71" spans="3:25" x14ac:dyDescent="0.25">
      <c r="C71" s="103" t="s">
        <v>34</v>
      </c>
      <c r="D71" s="98">
        <v>2972</v>
      </c>
      <c r="E71" s="98">
        <v>3208</v>
      </c>
      <c r="F71" s="98">
        <v>3464</v>
      </c>
      <c r="G71" s="98">
        <v>3280</v>
      </c>
      <c r="H71" s="98">
        <v>3069</v>
      </c>
      <c r="I71" s="104">
        <v>3275</v>
      </c>
    </row>
    <row r="72" spans="3:25" x14ac:dyDescent="0.25">
      <c r="C72" s="103" t="s">
        <v>35</v>
      </c>
      <c r="D72" s="98">
        <v>4054</v>
      </c>
      <c r="E72" s="98">
        <v>3727</v>
      </c>
      <c r="F72" s="98">
        <v>4416</v>
      </c>
      <c r="G72" s="98">
        <v>3917</v>
      </c>
      <c r="H72" s="98">
        <v>3710</v>
      </c>
      <c r="I72" s="104">
        <v>4033</v>
      </c>
    </row>
    <row r="73" spans="3:25" ht="40.5" x14ac:dyDescent="0.25">
      <c r="C73" s="103" t="s">
        <v>36</v>
      </c>
      <c r="D73" s="98">
        <v>3758</v>
      </c>
      <c r="E73" s="98">
        <v>3598</v>
      </c>
      <c r="F73" s="98">
        <v>4184</v>
      </c>
      <c r="G73" s="98">
        <v>3756</v>
      </c>
      <c r="H73" s="98">
        <v>3548</v>
      </c>
      <c r="I73" s="104">
        <v>3844</v>
      </c>
    </row>
    <row r="74" spans="3:25" x14ac:dyDescent="0.25">
      <c r="C74" s="103" t="s">
        <v>37</v>
      </c>
      <c r="D74" s="98">
        <v>665</v>
      </c>
      <c r="E74" s="98">
        <v>534</v>
      </c>
      <c r="F74" s="98">
        <v>428</v>
      </c>
      <c r="G74" s="98">
        <v>560</v>
      </c>
      <c r="H74" s="98">
        <v>860</v>
      </c>
      <c r="I74" s="104">
        <v>549</v>
      </c>
    </row>
    <row r="75" spans="3:25" x14ac:dyDescent="0.25">
      <c r="C75" s="103" t="s">
        <v>38</v>
      </c>
      <c r="D75" s="98">
        <v>1850</v>
      </c>
      <c r="E75" s="98">
        <v>1891</v>
      </c>
      <c r="F75" s="98">
        <v>2245</v>
      </c>
      <c r="G75" s="98">
        <v>2161</v>
      </c>
      <c r="H75" s="98">
        <v>2455</v>
      </c>
      <c r="I75" s="104">
        <v>2229</v>
      </c>
    </row>
    <row r="76" spans="3:25" ht="27" x14ac:dyDescent="0.25">
      <c r="C76" s="103" t="s">
        <v>39</v>
      </c>
      <c r="D76" s="98">
        <v>705</v>
      </c>
      <c r="E76" s="98">
        <v>569</v>
      </c>
      <c r="F76" s="98">
        <v>462</v>
      </c>
      <c r="G76" s="98">
        <v>705</v>
      </c>
      <c r="H76" s="98">
        <v>1014</v>
      </c>
      <c r="I76" s="104">
        <v>639</v>
      </c>
    </row>
    <row r="77" spans="3:25" ht="40.5" x14ac:dyDescent="0.25">
      <c r="C77" s="105" t="s">
        <v>40</v>
      </c>
      <c r="D77" s="98">
        <v>3175</v>
      </c>
      <c r="E77" s="98">
        <v>3207</v>
      </c>
      <c r="F77" s="98">
        <v>3850</v>
      </c>
      <c r="G77" s="98">
        <v>3341</v>
      </c>
      <c r="H77" s="98">
        <v>3133</v>
      </c>
      <c r="I77" s="104">
        <v>3454</v>
      </c>
    </row>
    <row r="78" spans="3:25" x14ac:dyDescent="0.25">
      <c r="C78" s="103" t="s">
        <v>167</v>
      </c>
      <c r="D78" s="98">
        <v>36010</v>
      </c>
      <c r="E78" s="98">
        <v>36010</v>
      </c>
      <c r="F78" s="98">
        <v>36010</v>
      </c>
      <c r="G78" s="98">
        <v>36010</v>
      </c>
      <c r="H78" s="98" t="s">
        <v>139</v>
      </c>
      <c r="I78" s="104">
        <v>36010</v>
      </c>
    </row>
    <row r="79" spans="3:25" x14ac:dyDescent="0.25">
      <c r="C79" s="103" t="s">
        <v>41</v>
      </c>
      <c r="D79" s="98">
        <v>1477</v>
      </c>
      <c r="E79" s="98">
        <v>1215</v>
      </c>
      <c r="F79" s="98">
        <v>1254</v>
      </c>
      <c r="G79" s="98">
        <v>1354</v>
      </c>
      <c r="H79" s="98">
        <v>1345</v>
      </c>
      <c r="I79" s="104">
        <v>1300</v>
      </c>
    </row>
    <row r="80" spans="3:25" x14ac:dyDescent="0.25">
      <c r="C80" s="103" t="s">
        <v>42</v>
      </c>
      <c r="D80" s="98">
        <v>3550</v>
      </c>
      <c r="E80" s="98">
        <v>3209</v>
      </c>
      <c r="F80" s="98">
        <v>3157</v>
      </c>
      <c r="G80" s="98">
        <v>3142</v>
      </c>
      <c r="H80" s="98">
        <v>3528</v>
      </c>
      <c r="I80" s="104">
        <v>3252</v>
      </c>
    </row>
    <row r="81" spans="3:16" ht="27" x14ac:dyDescent="0.25">
      <c r="C81" s="105" t="s">
        <v>43</v>
      </c>
      <c r="D81" s="98">
        <v>3595</v>
      </c>
      <c r="E81" s="98">
        <v>3312</v>
      </c>
      <c r="F81" s="98">
        <v>3217</v>
      </c>
      <c r="G81" s="98">
        <v>3181</v>
      </c>
      <c r="H81" s="98">
        <v>3519</v>
      </c>
      <c r="I81" s="104">
        <v>3297</v>
      </c>
    </row>
    <row r="82" spans="3:16" x14ac:dyDescent="0.25">
      <c r="C82" s="103" t="s">
        <v>44</v>
      </c>
      <c r="D82" s="98">
        <v>2922</v>
      </c>
      <c r="E82" s="98">
        <v>2423</v>
      </c>
      <c r="F82" s="98">
        <v>2176</v>
      </c>
      <c r="G82" s="98">
        <v>1936</v>
      </c>
      <c r="H82" s="98">
        <v>2238</v>
      </c>
      <c r="I82" s="104">
        <v>2183</v>
      </c>
    </row>
    <row r="83" spans="3:16" x14ac:dyDescent="0.25">
      <c r="C83" s="103" t="s">
        <v>152</v>
      </c>
      <c r="D83" s="98">
        <v>2275</v>
      </c>
      <c r="E83" s="98">
        <v>2275</v>
      </c>
      <c r="F83" s="98">
        <v>2597</v>
      </c>
      <c r="G83" s="98">
        <v>2503</v>
      </c>
      <c r="H83" s="98">
        <v>2275</v>
      </c>
      <c r="I83" s="104">
        <v>2510</v>
      </c>
    </row>
    <row r="84" spans="3:16" x14ac:dyDescent="0.25">
      <c r="C84" s="103" t="s">
        <v>45</v>
      </c>
      <c r="D84" s="98">
        <v>4703</v>
      </c>
      <c r="E84" s="98">
        <v>4636</v>
      </c>
      <c r="F84" s="98">
        <v>4083</v>
      </c>
      <c r="G84" s="98">
        <v>4175</v>
      </c>
      <c r="H84" s="98">
        <v>4376</v>
      </c>
      <c r="I84" s="104">
        <v>4277</v>
      </c>
    </row>
    <row r="85" spans="3:16" x14ac:dyDescent="0.25">
      <c r="C85" s="103" t="s">
        <v>46</v>
      </c>
      <c r="D85" s="98">
        <v>162</v>
      </c>
      <c r="E85" s="98">
        <v>161</v>
      </c>
      <c r="F85" s="98">
        <v>196</v>
      </c>
      <c r="G85" s="98">
        <v>193</v>
      </c>
      <c r="H85" s="98">
        <v>296</v>
      </c>
      <c r="I85" s="104">
        <v>218</v>
      </c>
    </row>
    <row r="86" spans="3:16" x14ac:dyDescent="0.25">
      <c r="C86" s="103" t="s">
        <v>47</v>
      </c>
      <c r="D86" s="98">
        <v>1612</v>
      </c>
      <c r="E86" s="98">
        <v>1489</v>
      </c>
      <c r="F86" s="98">
        <v>1424</v>
      </c>
      <c r="G86" s="98">
        <v>1523</v>
      </c>
      <c r="H86" s="98">
        <v>1587</v>
      </c>
      <c r="I86" s="104">
        <v>1478</v>
      </c>
    </row>
    <row r="87" spans="3:16" ht="54" x14ac:dyDescent="0.25">
      <c r="C87" s="105" t="s">
        <v>48</v>
      </c>
      <c r="D87" s="98">
        <v>1984</v>
      </c>
      <c r="E87" s="98">
        <v>1733</v>
      </c>
      <c r="F87" s="98">
        <v>1882</v>
      </c>
      <c r="G87" s="98">
        <v>1386</v>
      </c>
      <c r="H87" s="98">
        <v>1559</v>
      </c>
      <c r="I87" s="104">
        <v>1675</v>
      </c>
    </row>
    <row r="88" spans="3:16" x14ac:dyDescent="0.25">
      <c r="C88" s="103" t="s">
        <v>49</v>
      </c>
      <c r="D88" s="98">
        <v>5131</v>
      </c>
      <c r="E88" s="98">
        <v>3060</v>
      </c>
      <c r="F88" s="98">
        <v>3310</v>
      </c>
      <c r="G88" s="98">
        <v>2655</v>
      </c>
      <c r="H88" s="98">
        <v>2548</v>
      </c>
      <c r="I88" s="104">
        <v>3049</v>
      </c>
    </row>
    <row r="89" spans="3:16" x14ac:dyDescent="0.25">
      <c r="C89" s="103" t="s">
        <v>50</v>
      </c>
      <c r="D89" s="98">
        <v>3937</v>
      </c>
      <c r="E89" s="98">
        <v>3601</v>
      </c>
      <c r="F89" s="98">
        <v>3744</v>
      </c>
      <c r="G89" s="98">
        <v>3126</v>
      </c>
      <c r="H89" s="98">
        <v>1830</v>
      </c>
      <c r="I89" s="104">
        <v>3151</v>
      </c>
    </row>
    <row r="90" spans="3:16" ht="27" x14ac:dyDescent="0.25">
      <c r="C90" s="105" t="s">
        <v>52</v>
      </c>
      <c r="D90" s="98">
        <v>3964</v>
      </c>
      <c r="E90" s="98">
        <v>3561</v>
      </c>
      <c r="F90" s="98">
        <v>3710</v>
      </c>
      <c r="G90" s="98">
        <v>3090</v>
      </c>
      <c r="H90" s="98">
        <v>1851</v>
      </c>
      <c r="I90" s="104">
        <v>3145</v>
      </c>
    </row>
    <row r="91" spans="3:16" ht="27.75" thickBot="1" x14ac:dyDescent="0.3">
      <c r="C91" s="106" t="s">
        <v>141</v>
      </c>
      <c r="D91" s="107">
        <v>2661</v>
      </c>
      <c r="E91" s="107">
        <v>2672</v>
      </c>
      <c r="F91" s="107">
        <v>3078</v>
      </c>
      <c r="G91" s="107">
        <v>2640</v>
      </c>
      <c r="H91" s="107">
        <v>2647</v>
      </c>
      <c r="I91" s="108">
        <v>2810</v>
      </c>
    </row>
    <row r="92" spans="3:16" ht="15.75" thickBot="1" x14ac:dyDescent="0.3"/>
    <row r="93" spans="3:16" x14ac:dyDescent="0.25">
      <c r="C93" s="109" t="s">
        <v>172</v>
      </c>
      <c r="D93" s="111" t="s">
        <v>56</v>
      </c>
      <c r="E93" s="101">
        <v>0</v>
      </c>
      <c r="F93" s="101">
        <v>1.37</v>
      </c>
      <c r="G93" s="101">
        <v>0.02</v>
      </c>
      <c r="H93" s="101">
        <v>1.37</v>
      </c>
      <c r="I93" s="101">
        <v>0.02</v>
      </c>
      <c r="J93" s="101">
        <v>1.38</v>
      </c>
      <c r="K93" s="101">
        <v>0.01</v>
      </c>
      <c r="L93" s="101">
        <v>1.37</v>
      </c>
      <c r="M93" s="101" t="s">
        <v>139</v>
      </c>
      <c r="N93" s="101" t="s">
        <v>139</v>
      </c>
      <c r="O93" s="101">
        <v>0.01</v>
      </c>
      <c r="P93" s="102">
        <v>1.37</v>
      </c>
    </row>
    <row r="94" spans="3:16" x14ac:dyDescent="0.25">
      <c r="C94" s="103" t="s">
        <v>29</v>
      </c>
      <c r="D94" s="110" t="s">
        <v>56</v>
      </c>
      <c r="E94" s="98">
        <v>0.08</v>
      </c>
      <c r="F94" s="98">
        <v>4.28</v>
      </c>
      <c r="G94" s="98">
        <v>0.61</v>
      </c>
      <c r="H94" s="98">
        <v>4.26</v>
      </c>
      <c r="I94" s="98">
        <v>0.87</v>
      </c>
      <c r="J94" s="98">
        <v>4.2699999999999996</v>
      </c>
      <c r="K94" s="98">
        <v>1.45</v>
      </c>
      <c r="L94" s="98">
        <v>4.2</v>
      </c>
      <c r="M94" s="98">
        <v>2.9</v>
      </c>
      <c r="N94" s="98">
        <v>4.2300000000000004</v>
      </c>
      <c r="O94" s="98">
        <v>1.03</v>
      </c>
      <c r="P94" s="104">
        <v>4.24</v>
      </c>
    </row>
    <row r="95" spans="3:16" x14ac:dyDescent="0.25">
      <c r="C95" s="103" t="s">
        <v>41</v>
      </c>
      <c r="D95" s="110" t="s">
        <v>56</v>
      </c>
      <c r="E95" s="98">
        <v>0</v>
      </c>
      <c r="F95" s="98">
        <v>6.15</v>
      </c>
      <c r="G95" s="98">
        <v>0</v>
      </c>
      <c r="H95" s="98">
        <v>6.15</v>
      </c>
      <c r="I95" s="98">
        <v>0</v>
      </c>
      <c r="J95" s="98">
        <v>6.15</v>
      </c>
      <c r="K95" s="98">
        <v>0</v>
      </c>
      <c r="L95" s="98">
        <v>6.15</v>
      </c>
      <c r="M95" s="98">
        <v>0.02</v>
      </c>
      <c r="N95" s="98">
        <v>6.77</v>
      </c>
      <c r="O95" s="98">
        <v>0</v>
      </c>
      <c r="P95" s="104">
        <v>6.55</v>
      </c>
    </row>
    <row r="96" spans="3:16" x14ac:dyDescent="0.25">
      <c r="C96" s="103" t="s">
        <v>41</v>
      </c>
      <c r="D96" s="110" t="s">
        <v>58</v>
      </c>
      <c r="E96" s="98">
        <v>0.02</v>
      </c>
      <c r="F96" s="98">
        <v>3.09</v>
      </c>
      <c r="G96" s="98">
        <v>0.03</v>
      </c>
      <c r="H96" s="98">
        <v>3.88</v>
      </c>
      <c r="I96" s="98">
        <v>0.05</v>
      </c>
      <c r="J96" s="98">
        <v>3.48</v>
      </c>
      <c r="K96" s="98">
        <v>0.04</v>
      </c>
      <c r="L96" s="98">
        <v>3.48</v>
      </c>
      <c r="M96" s="98">
        <v>0.03</v>
      </c>
      <c r="N96" s="98">
        <v>3.27</v>
      </c>
      <c r="O96" s="98">
        <v>0.04</v>
      </c>
      <c r="P96" s="104">
        <v>3.48</v>
      </c>
    </row>
    <row r="97" spans="3:16" x14ac:dyDescent="0.25">
      <c r="C97" s="103" t="s">
        <v>41</v>
      </c>
      <c r="D97" s="110" t="s">
        <v>57</v>
      </c>
      <c r="E97" s="98">
        <v>0</v>
      </c>
      <c r="F97" s="98">
        <v>6.53</v>
      </c>
      <c r="G97" s="98">
        <v>0</v>
      </c>
      <c r="H97" s="98">
        <v>6.53</v>
      </c>
      <c r="I97" s="98">
        <v>0</v>
      </c>
      <c r="J97" s="98">
        <v>6.53</v>
      </c>
      <c r="K97" s="98">
        <v>0</v>
      </c>
      <c r="L97" s="98">
        <v>6.53</v>
      </c>
      <c r="M97" s="98">
        <v>0</v>
      </c>
      <c r="N97" s="98">
        <v>6.53</v>
      </c>
      <c r="O97" s="98">
        <v>0</v>
      </c>
      <c r="P97" s="104">
        <v>6.53</v>
      </c>
    </row>
    <row r="98" spans="3:16" x14ac:dyDescent="0.25">
      <c r="C98" s="103" t="s">
        <v>30</v>
      </c>
      <c r="D98" s="110" t="s">
        <v>58</v>
      </c>
      <c r="E98" s="98">
        <v>0.44</v>
      </c>
      <c r="F98" s="98">
        <v>1.26</v>
      </c>
      <c r="G98" s="98">
        <v>3.01</v>
      </c>
      <c r="H98" s="98">
        <v>1.27</v>
      </c>
      <c r="I98" s="98">
        <v>4.8600000000000003</v>
      </c>
      <c r="J98" s="98">
        <v>1.45</v>
      </c>
      <c r="K98" s="98">
        <v>7.84</v>
      </c>
      <c r="L98" s="98">
        <v>1.33</v>
      </c>
      <c r="M98" s="98">
        <v>11.64</v>
      </c>
      <c r="N98" s="98">
        <v>1.33</v>
      </c>
      <c r="O98" s="98">
        <v>5.08</v>
      </c>
      <c r="P98" s="104">
        <v>1.36</v>
      </c>
    </row>
    <row r="99" spans="3:16" x14ac:dyDescent="0.25">
      <c r="C99" s="103" t="s">
        <v>126</v>
      </c>
      <c r="D99" s="110" t="s">
        <v>56</v>
      </c>
      <c r="E99" s="98" t="s">
        <v>139</v>
      </c>
      <c r="F99" s="98" t="s">
        <v>139</v>
      </c>
      <c r="G99" s="98" t="s">
        <v>139</v>
      </c>
      <c r="H99" s="98" t="s">
        <v>139</v>
      </c>
      <c r="I99" s="98">
        <v>0.01</v>
      </c>
      <c r="J99" s="98">
        <v>4.21</v>
      </c>
      <c r="K99" s="98" t="s">
        <v>139</v>
      </c>
      <c r="L99" s="98" t="s">
        <v>139</v>
      </c>
      <c r="M99" s="98">
        <v>0</v>
      </c>
      <c r="N99" s="98">
        <v>4.21</v>
      </c>
      <c r="O99" s="98">
        <v>0</v>
      </c>
      <c r="P99" s="104">
        <v>4.21</v>
      </c>
    </row>
    <row r="100" spans="3:16" x14ac:dyDescent="0.25">
      <c r="C100" s="103" t="s">
        <v>126</v>
      </c>
      <c r="D100" s="110" t="s">
        <v>57</v>
      </c>
      <c r="E100" s="98" t="s">
        <v>139</v>
      </c>
      <c r="F100" s="98" t="s">
        <v>139</v>
      </c>
      <c r="G100" s="98">
        <v>0.01</v>
      </c>
      <c r="H100" s="98">
        <v>2.91</v>
      </c>
      <c r="I100" s="98">
        <v>0.14000000000000001</v>
      </c>
      <c r="J100" s="98">
        <v>2.78</v>
      </c>
      <c r="K100" s="98">
        <v>0.17</v>
      </c>
      <c r="L100" s="98">
        <v>2.75</v>
      </c>
      <c r="M100" s="98">
        <v>0.28000000000000003</v>
      </c>
      <c r="N100" s="98">
        <v>2.77</v>
      </c>
      <c r="O100" s="98">
        <v>0.12</v>
      </c>
      <c r="P100" s="104">
        <v>2.77</v>
      </c>
    </row>
    <row r="101" spans="3:16" x14ac:dyDescent="0.25">
      <c r="C101" s="103" t="s">
        <v>44</v>
      </c>
      <c r="D101" s="110" t="s">
        <v>56</v>
      </c>
      <c r="E101" s="98">
        <v>0</v>
      </c>
      <c r="F101" s="98">
        <v>5.19</v>
      </c>
      <c r="G101" s="98">
        <v>0.04</v>
      </c>
      <c r="H101" s="98">
        <v>5.67</v>
      </c>
      <c r="I101" s="98">
        <v>0.09</v>
      </c>
      <c r="J101" s="98">
        <v>5.79</v>
      </c>
      <c r="K101" s="98">
        <v>0.09</v>
      </c>
      <c r="L101" s="98">
        <v>5.72</v>
      </c>
      <c r="M101" s="98">
        <v>0.14000000000000001</v>
      </c>
      <c r="N101" s="98">
        <v>5.57</v>
      </c>
      <c r="O101" s="98">
        <v>7.0000000000000007E-2</v>
      </c>
      <c r="P101" s="104">
        <v>5.71</v>
      </c>
    </row>
    <row r="102" spans="3:16" x14ac:dyDescent="0.25">
      <c r="C102" s="103" t="s">
        <v>44</v>
      </c>
      <c r="D102" s="110" t="s">
        <v>58</v>
      </c>
      <c r="E102" s="98">
        <v>1.43</v>
      </c>
      <c r="F102" s="98">
        <v>2.65</v>
      </c>
      <c r="G102" s="98">
        <v>4.1900000000000004</v>
      </c>
      <c r="H102" s="98">
        <v>2.5299999999999998</v>
      </c>
      <c r="I102" s="98">
        <v>8.06</v>
      </c>
      <c r="J102" s="98">
        <v>2.48</v>
      </c>
      <c r="K102" s="98">
        <v>10.37</v>
      </c>
      <c r="L102" s="98">
        <v>2.4</v>
      </c>
      <c r="M102" s="98">
        <v>12.48</v>
      </c>
      <c r="N102" s="98">
        <v>2.5499999999999998</v>
      </c>
      <c r="O102" s="98">
        <v>7.15</v>
      </c>
      <c r="P102" s="104">
        <v>2.48</v>
      </c>
    </row>
    <row r="103" spans="3:16" x14ac:dyDescent="0.25">
      <c r="C103" s="103" t="s">
        <v>44</v>
      </c>
      <c r="D103" s="110" t="s">
        <v>57</v>
      </c>
      <c r="E103" s="98" t="s">
        <v>139</v>
      </c>
      <c r="F103" s="98" t="s">
        <v>139</v>
      </c>
      <c r="G103" s="98">
        <v>0.02</v>
      </c>
      <c r="H103" s="98">
        <v>1.75</v>
      </c>
      <c r="I103" s="98">
        <v>0.18</v>
      </c>
      <c r="J103" s="98">
        <v>3.19</v>
      </c>
      <c r="K103" s="98">
        <v>0.3</v>
      </c>
      <c r="L103" s="98">
        <v>2.63</v>
      </c>
      <c r="M103" s="98">
        <v>0.48</v>
      </c>
      <c r="N103" s="98">
        <v>2.94</v>
      </c>
      <c r="O103" s="98">
        <v>0.18</v>
      </c>
      <c r="P103" s="104">
        <v>2.93</v>
      </c>
    </row>
    <row r="104" spans="3:16" x14ac:dyDescent="0.25">
      <c r="C104" s="103" t="s">
        <v>152</v>
      </c>
      <c r="D104" s="110" t="s">
        <v>58</v>
      </c>
      <c r="E104" s="98">
        <v>0.03</v>
      </c>
      <c r="F104" s="98">
        <v>2.44</v>
      </c>
      <c r="G104" s="98">
        <v>0.03</v>
      </c>
      <c r="H104" s="98">
        <v>2.44</v>
      </c>
      <c r="I104" s="98">
        <v>0.14000000000000001</v>
      </c>
      <c r="J104" s="98">
        <v>2.4700000000000002</v>
      </c>
      <c r="K104" s="98">
        <v>0.1</v>
      </c>
      <c r="L104" s="98">
        <v>2.46</v>
      </c>
      <c r="M104" s="98">
        <v>7.0000000000000007E-2</v>
      </c>
      <c r="N104" s="98">
        <v>2.44</v>
      </c>
      <c r="O104" s="98">
        <v>0.09</v>
      </c>
      <c r="P104" s="104">
        <v>2.46</v>
      </c>
    </row>
    <row r="105" spans="3:16" x14ac:dyDescent="0.25">
      <c r="C105" s="103" t="s">
        <v>37</v>
      </c>
      <c r="D105" s="110" t="s">
        <v>145</v>
      </c>
      <c r="E105" s="98">
        <v>0.09</v>
      </c>
      <c r="F105" s="98">
        <v>2.14</v>
      </c>
      <c r="G105" s="98">
        <v>0.16</v>
      </c>
      <c r="H105" s="98">
        <v>2.12</v>
      </c>
      <c r="I105" s="98">
        <v>0.34</v>
      </c>
      <c r="J105" s="98">
        <v>2.09</v>
      </c>
      <c r="K105" s="98">
        <v>0.55000000000000004</v>
      </c>
      <c r="L105" s="98">
        <v>2.11</v>
      </c>
      <c r="M105" s="98">
        <v>0.34</v>
      </c>
      <c r="N105" s="98">
        <v>2.19</v>
      </c>
      <c r="O105" s="98">
        <v>0.3</v>
      </c>
      <c r="P105" s="104">
        <v>2.11</v>
      </c>
    </row>
    <row r="106" spans="3:16" x14ac:dyDescent="0.25">
      <c r="C106" s="103" t="s">
        <v>45</v>
      </c>
      <c r="D106" s="110" t="s">
        <v>58</v>
      </c>
      <c r="E106" s="98">
        <v>0.73</v>
      </c>
      <c r="F106" s="98">
        <v>3.24</v>
      </c>
      <c r="G106" s="98">
        <v>1.37</v>
      </c>
      <c r="H106" s="98">
        <v>3.2</v>
      </c>
      <c r="I106" s="98">
        <v>1.95</v>
      </c>
      <c r="J106" s="98">
        <v>3.09</v>
      </c>
      <c r="K106" s="98">
        <v>1.97</v>
      </c>
      <c r="L106" s="98">
        <v>3.07</v>
      </c>
      <c r="M106" s="98">
        <v>2.95</v>
      </c>
      <c r="N106" s="98">
        <v>3.18</v>
      </c>
      <c r="O106" s="98">
        <v>1.76</v>
      </c>
      <c r="P106" s="104">
        <v>3.13</v>
      </c>
    </row>
    <row r="107" spans="3:16" x14ac:dyDescent="0.25">
      <c r="C107" s="103" t="s">
        <v>34</v>
      </c>
      <c r="D107" s="110" t="s">
        <v>56</v>
      </c>
      <c r="E107" s="98">
        <v>0.28000000000000003</v>
      </c>
      <c r="F107" s="98">
        <v>4.54</v>
      </c>
      <c r="G107" s="98">
        <v>2.04</v>
      </c>
      <c r="H107" s="98">
        <v>4.57</v>
      </c>
      <c r="I107" s="98">
        <v>3.4</v>
      </c>
      <c r="J107" s="98">
        <v>4.62</v>
      </c>
      <c r="K107" s="98">
        <v>5.62</v>
      </c>
      <c r="L107" s="98">
        <v>4.5599999999999996</v>
      </c>
      <c r="M107" s="98">
        <v>8.19</v>
      </c>
      <c r="N107" s="98">
        <v>4.5199999999999996</v>
      </c>
      <c r="O107" s="98">
        <v>3.56</v>
      </c>
      <c r="P107" s="104">
        <v>4.57</v>
      </c>
    </row>
    <row r="108" spans="3:16" x14ac:dyDescent="0.25">
      <c r="C108" s="103" t="s">
        <v>35</v>
      </c>
      <c r="D108" s="110" t="s">
        <v>58</v>
      </c>
      <c r="E108" s="98">
        <v>0.74</v>
      </c>
      <c r="F108" s="98">
        <v>1.59</v>
      </c>
      <c r="G108" s="98">
        <v>6.21</v>
      </c>
      <c r="H108" s="98">
        <v>1.53</v>
      </c>
      <c r="I108" s="98">
        <v>11.46</v>
      </c>
      <c r="J108" s="98">
        <v>1.65</v>
      </c>
      <c r="K108" s="98">
        <v>17.600000000000001</v>
      </c>
      <c r="L108" s="98">
        <v>1.56</v>
      </c>
      <c r="M108" s="98">
        <v>25.37</v>
      </c>
      <c r="N108" s="98">
        <v>1.55</v>
      </c>
      <c r="O108" s="98">
        <v>11.38</v>
      </c>
      <c r="P108" s="104">
        <v>1.59</v>
      </c>
    </row>
    <row r="109" spans="3:16" x14ac:dyDescent="0.25">
      <c r="C109" s="103" t="s">
        <v>38</v>
      </c>
      <c r="D109" s="110" t="s">
        <v>58</v>
      </c>
      <c r="E109" s="98">
        <v>0</v>
      </c>
      <c r="F109" s="98">
        <v>3.42</v>
      </c>
      <c r="G109" s="98">
        <v>0</v>
      </c>
      <c r="H109" s="98">
        <v>3.28</v>
      </c>
      <c r="I109" s="98">
        <v>0.01</v>
      </c>
      <c r="J109" s="98">
        <v>3.47</v>
      </c>
      <c r="K109" s="98">
        <v>0.05</v>
      </c>
      <c r="L109" s="98">
        <v>3.38</v>
      </c>
      <c r="M109" s="98">
        <v>0.04</v>
      </c>
      <c r="N109" s="98">
        <v>3.41</v>
      </c>
      <c r="O109" s="98">
        <v>0.02</v>
      </c>
      <c r="P109" s="104">
        <v>3.4</v>
      </c>
    </row>
    <row r="110" spans="3:16" x14ac:dyDescent="0.25">
      <c r="C110" s="103" t="s">
        <v>31</v>
      </c>
      <c r="D110" s="110" t="s">
        <v>58</v>
      </c>
      <c r="E110" s="98">
        <v>0.04</v>
      </c>
      <c r="F110" s="98">
        <v>1</v>
      </c>
      <c r="G110" s="98">
        <v>0.01</v>
      </c>
      <c r="H110" s="98">
        <v>1.1000000000000001</v>
      </c>
      <c r="I110" s="98">
        <v>0.05</v>
      </c>
      <c r="J110" s="98">
        <v>1.06</v>
      </c>
      <c r="K110" s="98">
        <v>0.04</v>
      </c>
      <c r="L110" s="98">
        <v>0.8</v>
      </c>
      <c r="M110" s="98">
        <v>0.04</v>
      </c>
      <c r="N110" s="98">
        <v>0.96</v>
      </c>
      <c r="O110" s="98">
        <v>0.04</v>
      </c>
      <c r="P110" s="104">
        <v>0.99</v>
      </c>
    </row>
    <row r="111" spans="3:16" x14ac:dyDescent="0.25">
      <c r="C111" s="103" t="s">
        <v>42</v>
      </c>
      <c r="D111" s="110" t="s">
        <v>56</v>
      </c>
      <c r="E111" s="98">
        <v>0</v>
      </c>
      <c r="F111" s="98">
        <v>6.01</v>
      </c>
      <c r="G111" s="98">
        <v>0.04</v>
      </c>
      <c r="H111" s="98">
        <v>5.56</v>
      </c>
      <c r="I111" s="98">
        <v>0.05</v>
      </c>
      <c r="J111" s="98">
        <v>5.64</v>
      </c>
      <c r="K111" s="98">
        <v>0.15</v>
      </c>
      <c r="L111" s="98">
        <v>5</v>
      </c>
      <c r="M111" s="98">
        <v>0.09</v>
      </c>
      <c r="N111" s="98">
        <v>5.13</v>
      </c>
      <c r="O111" s="98">
        <v>0.06</v>
      </c>
      <c r="P111" s="104">
        <v>5.3</v>
      </c>
    </row>
    <row r="112" spans="3:16" x14ac:dyDescent="0.25">
      <c r="C112" s="103" t="s">
        <v>42</v>
      </c>
      <c r="D112" s="110" t="s">
        <v>58</v>
      </c>
      <c r="E112" s="98">
        <v>1.47</v>
      </c>
      <c r="F112" s="98">
        <v>3.15</v>
      </c>
      <c r="G112" s="98">
        <v>3.8</v>
      </c>
      <c r="H112" s="98">
        <v>3.02</v>
      </c>
      <c r="I112" s="98">
        <v>7.15</v>
      </c>
      <c r="J112" s="98">
        <v>2.99</v>
      </c>
      <c r="K112" s="98">
        <v>7.9</v>
      </c>
      <c r="L112" s="98">
        <v>2.97</v>
      </c>
      <c r="M112" s="98">
        <v>10.01</v>
      </c>
      <c r="N112" s="98">
        <v>3.03</v>
      </c>
      <c r="O112" s="98">
        <v>6.06</v>
      </c>
      <c r="P112" s="104">
        <v>3</v>
      </c>
    </row>
    <row r="113" spans="3:16" x14ac:dyDescent="0.25">
      <c r="C113" s="103" t="s">
        <v>42</v>
      </c>
      <c r="D113" s="110" t="s">
        <v>57</v>
      </c>
      <c r="E113" s="98">
        <v>0.03</v>
      </c>
      <c r="F113" s="98">
        <v>3.08</v>
      </c>
      <c r="G113" s="98">
        <v>0.33</v>
      </c>
      <c r="H113" s="98">
        <v>5.01</v>
      </c>
      <c r="I113" s="98">
        <v>0.9</v>
      </c>
      <c r="J113" s="98">
        <v>4.5999999999999996</v>
      </c>
      <c r="K113" s="98">
        <v>0.98</v>
      </c>
      <c r="L113" s="98">
        <v>4.66</v>
      </c>
      <c r="M113" s="98">
        <v>1.76</v>
      </c>
      <c r="N113" s="98">
        <v>4.0999999999999996</v>
      </c>
      <c r="O113" s="98">
        <v>0.77</v>
      </c>
      <c r="P113" s="104">
        <v>4.49</v>
      </c>
    </row>
    <row r="114" spans="3:16" x14ac:dyDescent="0.25">
      <c r="C114" s="103" t="s">
        <v>47</v>
      </c>
      <c r="D114" s="110" t="s">
        <v>59</v>
      </c>
      <c r="E114" s="98" t="s">
        <v>139</v>
      </c>
      <c r="F114" s="98" t="s">
        <v>139</v>
      </c>
      <c r="G114" s="98">
        <v>0</v>
      </c>
      <c r="H114" s="98">
        <v>4</v>
      </c>
      <c r="I114" s="98">
        <v>0</v>
      </c>
      <c r="J114" s="98">
        <v>4</v>
      </c>
      <c r="K114" s="98">
        <v>0</v>
      </c>
      <c r="L114" s="98">
        <v>4</v>
      </c>
      <c r="M114" s="98">
        <v>0</v>
      </c>
      <c r="N114" s="98">
        <v>4</v>
      </c>
      <c r="O114" s="98">
        <v>0</v>
      </c>
      <c r="P114" s="104">
        <v>4</v>
      </c>
    </row>
    <row r="115" spans="3:16" x14ac:dyDescent="0.25">
      <c r="C115" s="103" t="s">
        <v>47</v>
      </c>
      <c r="D115" s="110" t="s">
        <v>58</v>
      </c>
      <c r="E115" s="98">
        <v>0.12</v>
      </c>
      <c r="F115" s="98">
        <v>3.38</v>
      </c>
      <c r="G115" s="98">
        <v>0.38</v>
      </c>
      <c r="H115" s="98">
        <v>3.47</v>
      </c>
      <c r="I115" s="98">
        <v>0.84</v>
      </c>
      <c r="J115" s="98">
        <v>3.47</v>
      </c>
      <c r="K115" s="98">
        <v>0.67</v>
      </c>
      <c r="L115" s="98">
        <v>3.44</v>
      </c>
      <c r="M115" s="98">
        <v>0.66</v>
      </c>
      <c r="N115" s="98">
        <v>3.44</v>
      </c>
      <c r="O115" s="98">
        <v>0.59</v>
      </c>
      <c r="P115" s="104">
        <v>3.46</v>
      </c>
    </row>
    <row r="116" spans="3:16" x14ac:dyDescent="0.25">
      <c r="C116" s="103" t="s">
        <v>32</v>
      </c>
      <c r="D116" s="110" t="s">
        <v>58</v>
      </c>
      <c r="E116" s="98">
        <v>0</v>
      </c>
      <c r="F116" s="98">
        <v>1.1499999999999999</v>
      </c>
      <c r="G116" s="98">
        <v>0.01</v>
      </c>
      <c r="H116" s="98">
        <v>1.1399999999999999</v>
      </c>
      <c r="I116" s="98">
        <v>0.01</v>
      </c>
      <c r="J116" s="98">
        <v>0.97</v>
      </c>
      <c r="K116" s="98">
        <v>0.01</v>
      </c>
      <c r="L116" s="98">
        <v>1.1499999999999999</v>
      </c>
      <c r="M116" s="98">
        <v>0.01</v>
      </c>
      <c r="N116" s="98">
        <v>1.06</v>
      </c>
      <c r="O116" s="98">
        <v>0.01</v>
      </c>
      <c r="P116" s="104">
        <v>1.06</v>
      </c>
    </row>
    <row r="117" spans="3:16" ht="54" x14ac:dyDescent="0.25">
      <c r="C117" s="103" t="s">
        <v>146</v>
      </c>
      <c r="D117" s="226" t="s">
        <v>56</v>
      </c>
      <c r="E117" s="225">
        <v>1.52</v>
      </c>
      <c r="F117" s="225">
        <v>0.3</v>
      </c>
      <c r="G117" s="225">
        <v>3.44</v>
      </c>
      <c r="H117" s="225">
        <v>0.3</v>
      </c>
      <c r="I117" s="225">
        <v>2.36</v>
      </c>
      <c r="J117" s="225">
        <v>0.3</v>
      </c>
      <c r="K117" s="225">
        <v>6.22</v>
      </c>
      <c r="L117" s="225">
        <v>0.3</v>
      </c>
      <c r="M117" s="225">
        <v>7.13</v>
      </c>
      <c r="N117" s="225">
        <v>0.31</v>
      </c>
      <c r="O117" s="225">
        <v>3.59</v>
      </c>
      <c r="P117" s="224">
        <v>0.3</v>
      </c>
    </row>
    <row r="118" spans="3:16" x14ac:dyDescent="0.25">
      <c r="C118" s="103" t="s">
        <v>46</v>
      </c>
      <c r="D118" s="226"/>
      <c r="E118" s="225"/>
      <c r="F118" s="225"/>
      <c r="G118" s="225"/>
      <c r="H118" s="225"/>
      <c r="I118" s="225"/>
      <c r="J118" s="225"/>
      <c r="K118" s="225"/>
      <c r="L118" s="225"/>
      <c r="M118" s="225"/>
      <c r="N118" s="225"/>
      <c r="O118" s="225"/>
      <c r="P118" s="224"/>
    </row>
    <row r="119" spans="3:16" x14ac:dyDescent="0.25">
      <c r="C119" s="103" t="s">
        <v>46</v>
      </c>
      <c r="D119" s="110" t="s">
        <v>58</v>
      </c>
      <c r="E119" s="98">
        <v>0.28999999999999998</v>
      </c>
      <c r="F119" s="98">
        <v>1.47</v>
      </c>
      <c r="G119" s="98">
        <v>0.92</v>
      </c>
      <c r="H119" s="98">
        <v>1.1599999999999999</v>
      </c>
      <c r="I119" s="98">
        <v>1.47</v>
      </c>
      <c r="J119" s="98">
        <v>0.87</v>
      </c>
      <c r="K119" s="98">
        <v>3.51</v>
      </c>
      <c r="L119" s="98">
        <v>0.74</v>
      </c>
      <c r="M119" s="98">
        <v>6.55</v>
      </c>
      <c r="N119" s="98">
        <v>1.1200000000000001</v>
      </c>
      <c r="O119" s="98">
        <v>2.11</v>
      </c>
      <c r="P119" s="104">
        <v>0.96</v>
      </c>
    </row>
    <row r="120" spans="3:16" x14ac:dyDescent="0.25">
      <c r="C120" s="103" t="s">
        <v>119</v>
      </c>
      <c r="D120" s="110" t="s">
        <v>56</v>
      </c>
      <c r="E120" s="98">
        <v>0.05</v>
      </c>
      <c r="F120" s="98">
        <v>0.24</v>
      </c>
      <c r="G120" s="98">
        <v>0.04</v>
      </c>
      <c r="H120" s="98">
        <v>0.24</v>
      </c>
      <c r="I120" s="98">
        <v>7.0000000000000007E-2</v>
      </c>
      <c r="J120" s="98">
        <v>0.23</v>
      </c>
      <c r="K120" s="98">
        <v>0.32</v>
      </c>
      <c r="L120" s="98">
        <v>0.24</v>
      </c>
      <c r="M120" s="98">
        <v>0.64</v>
      </c>
      <c r="N120" s="98">
        <v>0.24</v>
      </c>
      <c r="O120" s="98">
        <v>0.17</v>
      </c>
      <c r="P120" s="104">
        <v>0.24</v>
      </c>
    </row>
    <row r="121" spans="3:16" x14ac:dyDescent="0.25">
      <c r="C121" s="103" t="s">
        <v>147</v>
      </c>
      <c r="D121" s="226" t="s">
        <v>165</v>
      </c>
      <c r="E121" s="225" t="s">
        <v>139</v>
      </c>
      <c r="F121" s="225" t="s">
        <v>139</v>
      </c>
      <c r="G121" s="225" t="s">
        <v>139</v>
      </c>
      <c r="H121" s="225" t="s">
        <v>139</v>
      </c>
      <c r="I121" s="225">
        <v>0</v>
      </c>
      <c r="J121" s="225">
        <v>7.85</v>
      </c>
      <c r="K121" s="225">
        <v>0.01</v>
      </c>
      <c r="L121" s="225">
        <v>7.85</v>
      </c>
      <c r="M121" s="225">
        <v>0.01</v>
      </c>
      <c r="N121" s="225">
        <v>7.85</v>
      </c>
      <c r="O121" s="225">
        <v>0</v>
      </c>
      <c r="P121" s="224">
        <v>7.85</v>
      </c>
    </row>
    <row r="122" spans="3:16" x14ac:dyDescent="0.25">
      <c r="C122" s="103" t="s">
        <v>49</v>
      </c>
      <c r="D122" s="226"/>
      <c r="E122" s="225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4"/>
    </row>
    <row r="123" spans="3:16" x14ac:dyDescent="0.25">
      <c r="C123" s="103" t="s">
        <v>49</v>
      </c>
      <c r="D123" s="110" t="s">
        <v>61</v>
      </c>
      <c r="E123" s="98" t="s">
        <v>139</v>
      </c>
      <c r="F123" s="98" t="s">
        <v>139</v>
      </c>
      <c r="G123" s="98">
        <v>0.02</v>
      </c>
      <c r="H123" s="98">
        <v>6.03</v>
      </c>
      <c r="I123" s="98">
        <v>0.02</v>
      </c>
      <c r="J123" s="98">
        <v>6.03</v>
      </c>
      <c r="K123" s="98">
        <v>0.04</v>
      </c>
      <c r="L123" s="98">
        <v>6.03</v>
      </c>
      <c r="M123" s="98">
        <v>0.02</v>
      </c>
      <c r="N123" s="98">
        <v>6.03</v>
      </c>
      <c r="O123" s="98">
        <v>0.02</v>
      </c>
      <c r="P123" s="104">
        <v>6.03</v>
      </c>
    </row>
    <row r="124" spans="3:16" x14ac:dyDescent="0.25">
      <c r="C124" s="103" t="s">
        <v>49</v>
      </c>
      <c r="D124" s="110" t="s">
        <v>58</v>
      </c>
      <c r="E124" s="98">
        <v>0.01</v>
      </c>
      <c r="F124" s="98">
        <v>3.87</v>
      </c>
      <c r="G124" s="98">
        <v>0.02</v>
      </c>
      <c r="H124" s="98">
        <v>3.87</v>
      </c>
      <c r="I124" s="98">
        <v>0.03</v>
      </c>
      <c r="J124" s="98">
        <v>3.87</v>
      </c>
      <c r="K124" s="98">
        <v>0.03</v>
      </c>
      <c r="L124" s="98">
        <v>3.87</v>
      </c>
      <c r="M124" s="98">
        <v>0.01</v>
      </c>
      <c r="N124" s="98">
        <v>3.87</v>
      </c>
      <c r="O124" s="98">
        <v>0.02</v>
      </c>
      <c r="P124" s="104">
        <v>3.87</v>
      </c>
    </row>
    <row r="125" spans="3:16" x14ac:dyDescent="0.25">
      <c r="C125" s="103" t="s">
        <v>49</v>
      </c>
      <c r="D125" s="110" t="s">
        <v>57</v>
      </c>
      <c r="E125" s="98" t="s">
        <v>139</v>
      </c>
      <c r="F125" s="98" t="s">
        <v>139</v>
      </c>
      <c r="G125" s="98">
        <v>0</v>
      </c>
      <c r="H125" s="98">
        <v>5.1100000000000003</v>
      </c>
      <c r="I125" s="98">
        <v>0.01</v>
      </c>
      <c r="J125" s="98">
        <v>5.1100000000000003</v>
      </c>
      <c r="K125" s="98">
        <v>0.02</v>
      </c>
      <c r="L125" s="98">
        <v>5.1100000000000003</v>
      </c>
      <c r="M125" s="98" t="s">
        <v>139</v>
      </c>
      <c r="N125" s="98" t="s">
        <v>139</v>
      </c>
      <c r="O125" s="98">
        <v>0.01</v>
      </c>
      <c r="P125" s="104">
        <v>5.1100000000000003</v>
      </c>
    </row>
    <row r="126" spans="3:16" x14ac:dyDescent="0.25">
      <c r="C126" s="103" t="s">
        <v>50</v>
      </c>
      <c r="D126" s="110" t="s">
        <v>163</v>
      </c>
      <c r="E126" s="98">
        <v>0</v>
      </c>
      <c r="F126" s="98">
        <v>2.79</v>
      </c>
      <c r="G126" s="98" t="s">
        <v>139</v>
      </c>
      <c r="H126" s="98" t="s">
        <v>139</v>
      </c>
      <c r="I126" s="98" t="s">
        <v>139</v>
      </c>
      <c r="J126" s="98" t="s">
        <v>139</v>
      </c>
      <c r="K126" s="98" t="s">
        <v>139</v>
      </c>
      <c r="L126" s="98" t="s">
        <v>139</v>
      </c>
      <c r="M126" s="98" t="s">
        <v>139</v>
      </c>
      <c r="N126" s="98" t="s">
        <v>139</v>
      </c>
      <c r="O126" s="98">
        <v>0</v>
      </c>
      <c r="P126" s="104">
        <v>2.79</v>
      </c>
    </row>
    <row r="127" spans="3:16" x14ac:dyDescent="0.25">
      <c r="C127" s="103" t="s">
        <v>50</v>
      </c>
      <c r="D127" s="110" t="s">
        <v>60</v>
      </c>
      <c r="E127" s="98">
        <v>0.04</v>
      </c>
      <c r="F127" s="98">
        <v>10.19</v>
      </c>
      <c r="G127" s="98">
        <v>0.04</v>
      </c>
      <c r="H127" s="98">
        <v>10.11</v>
      </c>
      <c r="I127" s="98">
        <v>0.05</v>
      </c>
      <c r="J127" s="98">
        <v>10.11</v>
      </c>
      <c r="K127" s="98">
        <v>0.08</v>
      </c>
      <c r="L127" s="98">
        <v>10.14</v>
      </c>
      <c r="M127" s="98">
        <v>0.06</v>
      </c>
      <c r="N127" s="98">
        <v>-0.98</v>
      </c>
      <c r="O127" s="98">
        <v>0.05</v>
      </c>
      <c r="P127" s="104">
        <v>8.6</v>
      </c>
    </row>
    <row r="128" spans="3:16" x14ac:dyDescent="0.25">
      <c r="C128" s="103" t="s">
        <v>50</v>
      </c>
      <c r="D128" s="110" t="s">
        <v>166</v>
      </c>
      <c r="E128" s="98">
        <v>0</v>
      </c>
      <c r="F128" s="98">
        <v>0.72</v>
      </c>
      <c r="G128" s="98" t="s">
        <v>139</v>
      </c>
      <c r="H128" s="98" t="s">
        <v>139</v>
      </c>
      <c r="I128" s="98" t="s">
        <v>139</v>
      </c>
      <c r="J128" s="98" t="s">
        <v>139</v>
      </c>
      <c r="K128" s="98" t="s">
        <v>139</v>
      </c>
      <c r="L128" s="98" t="s">
        <v>139</v>
      </c>
      <c r="M128" s="98" t="s">
        <v>139</v>
      </c>
      <c r="N128" s="98" t="s">
        <v>139</v>
      </c>
      <c r="O128" s="98">
        <v>0</v>
      </c>
      <c r="P128" s="104">
        <v>0.72</v>
      </c>
    </row>
    <row r="129" spans="3:16" x14ac:dyDescent="0.25">
      <c r="C129" s="103" t="s">
        <v>50</v>
      </c>
      <c r="D129" s="110" t="s">
        <v>62</v>
      </c>
      <c r="E129" s="98" t="s">
        <v>139</v>
      </c>
      <c r="F129" s="98" t="s">
        <v>139</v>
      </c>
      <c r="G129" s="98">
        <v>0</v>
      </c>
      <c r="H129" s="98">
        <v>1.8</v>
      </c>
      <c r="I129" s="98" t="s">
        <v>139</v>
      </c>
      <c r="J129" s="98" t="s">
        <v>139</v>
      </c>
      <c r="K129" s="98" t="s">
        <v>139</v>
      </c>
      <c r="L129" s="98" t="s">
        <v>139</v>
      </c>
      <c r="M129" s="98" t="s">
        <v>139</v>
      </c>
      <c r="N129" s="98" t="s">
        <v>139</v>
      </c>
      <c r="O129" s="98">
        <v>0</v>
      </c>
      <c r="P129" s="104">
        <v>1.8</v>
      </c>
    </row>
    <row r="130" spans="3:16" x14ac:dyDescent="0.25">
      <c r="C130" s="103" t="s">
        <v>50</v>
      </c>
      <c r="D130" s="110" t="s">
        <v>61</v>
      </c>
      <c r="E130" s="98">
        <v>0.22</v>
      </c>
      <c r="F130" s="98">
        <v>6.29</v>
      </c>
      <c r="G130" s="98">
        <v>0.44</v>
      </c>
      <c r="H130" s="98">
        <v>2.39</v>
      </c>
      <c r="I130" s="98">
        <v>0.52</v>
      </c>
      <c r="J130" s="98">
        <v>1.54</v>
      </c>
      <c r="K130" s="98">
        <v>0.8</v>
      </c>
      <c r="L130" s="98">
        <v>-0.47</v>
      </c>
      <c r="M130" s="98">
        <v>0.66</v>
      </c>
      <c r="N130" s="98">
        <v>1.95</v>
      </c>
      <c r="O130" s="98">
        <v>0.52</v>
      </c>
      <c r="P130" s="104">
        <v>1.58</v>
      </c>
    </row>
    <row r="131" spans="3:16" ht="15.75" thickBot="1" x14ac:dyDescent="0.3">
      <c r="C131" s="112" t="s">
        <v>50</v>
      </c>
      <c r="D131" s="113" t="s">
        <v>57</v>
      </c>
      <c r="E131" s="107">
        <v>0.09</v>
      </c>
      <c r="F131" s="107">
        <v>2.62</v>
      </c>
      <c r="G131" s="107">
        <v>0.14000000000000001</v>
      </c>
      <c r="H131" s="107">
        <v>2.17</v>
      </c>
      <c r="I131" s="107">
        <v>0.19</v>
      </c>
      <c r="J131" s="107">
        <v>1.98</v>
      </c>
      <c r="K131" s="107">
        <v>0.34</v>
      </c>
      <c r="L131" s="107">
        <v>1.28</v>
      </c>
      <c r="M131" s="107">
        <v>0.89</v>
      </c>
      <c r="N131" s="107">
        <v>0.41</v>
      </c>
      <c r="O131" s="107">
        <v>0.27</v>
      </c>
      <c r="P131" s="108">
        <v>1.27</v>
      </c>
    </row>
  </sheetData>
  <mergeCells count="88"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Z32:Z33"/>
    <mergeCell ref="AA29:AA30"/>
    <mergeCell ref="AB29:AB30"/>
    <mergeCell ref="AC29:AC30"/>
    <mergeCell ref="AD29:AD30"/>
    <mergeCell ref="U29:U30"/>
    <mergeCell ref="V29:V30"/>
    <mergeCell ref="W29:W30"/>
    <mergeCell ref="X29:X30"/>
    <mergeCell ref="Y29:Y30"/>
    <mergeCell ref="Z29:Z30"/>
    <mergeCell ref="N117:N118"/>
    <mergeCell ref="O117:O118"/>
    <mergeCell ref="P117:P118"/>
    <mergeCell ref="D121:D122"/>
    <mergeCell ref="E121:E122"/>
    <mergeCell ref="F121:F122"/>
    <mergeCell ref="G121:G122"/>
    <mergeCell ref="H121:H122"/>
    <mergeCell ref="N121:N122"/>
    <mergeCell ref="O121:O122"/>
    <mergeCell ref="P121:P122"/>
    <mergeCell ref="I117:I118"/>
    <mergeCell ref="J117:J118"/>
    <mergeCell ref="K117:K118"/>
    <mergeCell ref="L117:L118"/>
    <mergeCell ref="M117:M118"/>
    <mergeCell ref="I121:I122"/>
    <mergeCell ref="J121:J122"/>
    <mergeCell ref="K121:K122"/>
    <mergeCell ref="L121:L122"/>
    <mergeCell ref="M121:M122"/>
    <mergeCell ref="D117:D118"/>
    <mergeCell ref="E117:E118"/>
    <mergeCell ref="J34:J35"/>
    <mergeCell ref="K34:K35"/>
    <mergeCell ref="L34:L35"/>
    <mergeCell ref="G117:G118"/>
    <mergeCell ref="H117:H118"/>
    <mergeCell ref="F117:F118"/>
    <mergeCell ref="AE29:AE30"/>
    <mergeCell ref="AF29:AF30"/>
    <mergeCell ref="AG29:AG30"/>
    <mergeCell ref="AE32:AE33"/>
    <mergeCell ref="AF32:AF33"/>
    <mergeCell ref="AG32:AG33"/>
    <mergeCell ref="AF2:AG2"/>
    <mergeCell ref="AD4:AD5"/>
    <mergeCell ref="AE4:AE5"/>
    <mergeCell ref="AF4:AF5"/>
    <mergeCell ref="AG4:AG5"/>
    <mergeCell ref="AB4:AB5"/>
    <mergeCell ref="AC4:AC5"/>
    <mergeCell ref="AB2:AC2"/>
    <mergeCell ref="AD2:AE2"/>
    <mergeCell ref="T2:T3"/>
    <mergeCell ref="U2:U3"/>
    <mergeCell ref="V2:W2"/>
    <mergeCell ref="X2:Y2"/>
    <mergeCell ref="Z2:AA2"/>
    <mergeCell ref="U4:U5"/>
    <mergeCell ref="V4:V5"/>
    <mergeCell ref="W4:W5"/>
    <mergeCell ref="X4:X5"/>
    <mergeCell ref="Y4:Y5"/>
    <mergeCell ref="Z4:Z5"/>
    <mergeCell ref="AA4:AA5"/>
    <mergeCell ref="C3:D3"/>
    <mergeCell ref="E3:F3"/>
    <mergeCell ref="G3:H3"/>
    <mergeCell ref="S38:S39"/>
    <mergeCell ref="M34:M35"/>
    <mergeCell ref="N34:N35"/>
    <mergeCell ref="O34:O35"/>
    <mergeCell ref="P34:P35"/>
    <mergeCell ref="I3:J3"/>
    <mergeCell ref="K3:L3"/>
    <mergeCell ref="M3:N3"/>
    <mergeCell ref="O3:P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66"/>
  <sheetViews>
    <sheetView topLeftCell="A19" zoomScale="85" zoomScaleNormal="85" workbookViewId="0">
      <selection activeCell="J45" sqref="J45"/>
    </sheetView>
  </sheetViews>
  <sheetFormatPr baseColWidth="10" defaultRowHeight="15" x14ac:dyDescent="0.25"/>
  <cols>
    <col min="1" max="1" width="25.140625" customWidth="1"/>
    <col min="2" max="2" width="36.28515625" customWidth="1"/>
  </cols>
  <sheetData>
    <row r="1" spans="1:13" ht="15.75" thickBot="1" x14ac:dyDescent="0.3">
      <c r="A1" s="204" t="s">
        <v>124</v>
      </c>
      <c r="B1" s="1"/>
      <c r="C1" s="204" t="s">
        <v>53</v>
      </c>
      <c r="D1" s="2" t="s">
        <v>28</v>
      </c>
    </row>
    <row r="2" spans="1:13" ht="49.5" customHeight="1" thickBot="1" x14ac:dyDescent="0.3">
      <c r="A2" s="205"/>
      <c r="B2" s="19"/>
      <c r="C2" s="205"/>
      <c r="D2" s="3" t="s">
        <v>54</v>
      </c>
    </row>
    <row r="3" spans="1:13" ht="15.75" customHeight="1" thickBot="1" x14ac:dyDescent="0.35">
      <c r="A3" s="5" t="s">
        <v>55</v>
      </c>
      <c r="B3" s="20"/>
      <c r="C3" s="230" t="s">
        <v>56</v>
      </c>
      <c r="D3" s="41"/>
    </row>
    <row r="4" spans="1:13" ht="27" x14ac:dyDescent="0.3">
      <c r="A4" s="5" t="s">
        <v>63</v>
      </c>
      <c r="B4" s="23" t="str">
        <f>+VLOOKUP(A4,$A$45:$B$64,2,0)</f>
        <v>Bonos del Banco Central de Chile expresados en pesos</v>
      </c>
      <c r="C4" s="231"/>
      <c r="D4" s="70">
        <v>2.2000000000000002</v>
      </c>
      <c r="E4" s="51"/>
      <c r="F4" s="135"/>
    </row>
    <row r="5" spans="1:13" ht="27" x14ac:dyDescent="0.3">
      <c r="A5" s="5" t="s">
        <v>65</v>
      </c>
      <c r="B5" s="23" t="str">
        <f>+VLOOKUP(A5,$A$45:$B$64,2,0)</f>
        <v>Bonos respaldados por títulos de créditos transferibles</v>
      </c>
      <c r="C5" s="39" t="s">
        <v>56</v>
      </c>
      <c r="D5" s="76">
        <v>0.02</v>
      </c>
      <c r="E5" s="51"/>
      <c r="F5" s="136"/>
    </row>
    <row r="6" spans="1:13" ht="27" x14ac:dyDescent="0.3">
      <c r="A6" s="5" t="s">
        <v>65</v>
      </c>
      <c r="B6" s="23" t="str">
        <f>+VLOOKUP(A6,$A$45:$B$64,2,0)</f>
        <v>Bonos respaldados por títulos de créditos transferibles</v>
      </c>
      <c r="C6" s="39" t="s">
        <v>58</v>
      </c>
      <c r="D6" s="76">
        <v>0.02</v>
      </c>
      <c r="E6" s="51"/>
      <c r="F6" s="79"/>
    </row>
    <row r="7" spans="1:13" ht="27" x14ac:dyDescent="0.3">
      <c r="A7" s="5" t="s">
        <v>65</v>
      </c>
      <c r="B7" s="23" t="str">
        <f>+VLOOKUP(A7,$A$45:$B$64,2,0)</f>
        <v>Bonos respaldados por títulos de créditos transferibles</v>
      </c>
      <c r="C7" s="39" t="s">
        <v>57</v>
      </c>
      <c r="D7" s="76">
        <v>9.89</v>
      </c>
      <c r="E7" s="51"/>
      <c r="F7" s="79"/>
    </row>
    <row r="8" spans="1:13" ht="27" x14ac:dyDescent="0.3">
      <c r="A8" s="5" t="s">
        <v>67</v>
      </c>
      <c r="B8" s="23" t="str">
        <f>+VLOOKUP(A8,$A$45:$B$64,2,0)</f>
        <v>Bonos del banco Central de Chile expresados en UF</v>
      </c>
      <c r="C8" s="39" t="s">
        <v>58</v>
      </c>
      <c r="D8" s="76">
        <v>0.01</v>
      </c>
      <c r="E8" s="51"/>
      <c r="F8" s="79"/>
    </row>
    <row r="9" spans="1:13" ht="15.75" x14ac:dyDescent="0.3">
      <c r="A9" s="5" t="s">
        <v>127</v>
      </c>
      <c r="B9" s="23" t="str">
        <f>+VLOOKUP(A9,$A$45:$B$65,2,0)</f>
        <v>Bonos del Estado de Chile</v>
      </c>
      <c r="C9" s="95" t="s">
        <v>166</v>
      </c>
      <c r="D9" s="84">
        <v>0</v>
      </c>
      <c r="E9" s="51"/>
      <c r="F9" s="79"/>
    </row>
    <row r="10" spans="1:13" ht="15.75" x14ac:dyDescent="0.3">
      <c r="A10" s="5" t="s">
        <v>127</v>
      </c>
      <c r="B10" s="23" t="str">
        <f>+VLOOKUP(A10,$A$45:$B$65,2,0)</f>
        <v>Bonos del Estado de Chile</v>
      </c>
      <c r="C10" s="72" t="s">
        <v>57</v>
      </c>
      <c r="D10" s="76">
        <v>7.0000000000000007E-2</v>
      </c>
      <c r="E10" s="51"/>
      <c r="F10" s="79"/>
    </row>
    <row r="11" spans="1:13" ht="27" x14ac:dyDescent="0.3">
      <c r="A11" s="5" t="s">
        <v>71</v>
      </c>
      <c r="B11" s="24" t="str">
        <f>+VLOOKUP(A11,$A$45:$B$64,2,0)</f>
        <v>Bonos Bancarios emitidos por Instituciones Financieras</v>
      </c>
      <c r="C11" s="39" t="s">
        <v>56</v>
      </c>
      <c r="D11" s="79">
        <v>0.13</v>
      </c>
      <c r="E11" s="52"/>
      <c r="F11" s="79"/>
    </row>
    <row r="12" spans="1:13" ht="27" x14ac:dyDescent="0.3">
      <c r="A12" s="5" t="s">
        <v>71</v>
      </c>
      <c r="B12" s="24" t="str">
        <f>+VLOOKUP(A12,$A$45:$B$64,2,0)</f>
        <v>Bonos Bancarios emitidos por Instituciones Financieras</v>
      </c>
      <c r="C12" s="39" t="s">
        <v>58</v>
      </c>
      <c r="D12" s="79">
        <v>13.61</v>
      </c>
      <c r="E12" s="52"/>
      <c r="F12" s="79"/>
    </row>
    <row r="13" spans="1:13" ht="27" x14ac:dyDescent="0.3">
      <c r="A13" s="5" t="s">
        <v>71</v>
      </c>
      <c r="B13" s="24" t="str">
        <f>+VLOOKUP(A13,$A$45:$B$64,2,0)</f>
        <v>Bonos Bancarios emitidos por Instituciones Financieras</v>
      </c>
      <c r="C13" s="39" t="s">
        <v>57</v>
      </c>
      <c r="D13" s="79">
        <v>0.56999999999999995</v>
      </c>
      <c r="E13" s="52"/>
      <c r="F13" s="79"/>
    </row>
    <row r="14" spans="1:13" ht="15.75" x14ac:dyDescent="0.3">
      <c r="A14" s="5" t="s">
        <v>153</v>
      </c>
      <c r="B14" s="24" t="str">
        <f>+VLOOKUP(A14,$A$45:$B$70,2,0)</f>
        <v>Bono hipotecario emitido por Inst. financieras</v>
      </c>
      <c r="C14" s="75" t="s">
        <v>58</v>
      </c>
      <c r="D14" s="79">
        <v>7.0000000000000007E-2</v>
      </c>
      <c r="E14" s="52"/>
      <c r="F14" s="79"/>
    </row>
    <row r="15" spans="1:13" ht="27" x14ac:dyDescent="0.3">
      <c r="A15" s="5" t="s">
        <v>73</v>
      </c>
      <c r="B15" s="23" t="str">
        <f t="shared" ref="B15:B26" si="0">+VLOOKUP(A15,$A$45:$B$64,2,0)</f>
        <v>Bonos de reconocimiento Previsionales emitidos por el INP u otras Instituciones de Previsión</v>
      </c>
      <c r="C15" s="39" t="s">
        <v>56</v>
      </c>
      <c r="D15" s="79">
        <v>0.27</v>
      </c>
      <c r="E15" s="51"/>
      <c r="F15" s="79"/>
      <c r="G15" s="37"/>
      <c r="L15" s="16">
        <v>0.79269061121613116</v>
      </c>
      <c r="M15" s="16">
        <v>0.20730938878386893</v>
      </c>
    </row>
    <row r="16" spans="1:13" ht="27" x14ac:dyDescent="0.3">
      <c r="A16" s="5" t="s">
        <v>75</v>
      </c>
      <c r="B16" s="24" t="str">
        <f t="shared" si="0"/>
        <v>Bonos subordinados emitidos por Instituciones Financieras</v>
      </c>
      <c r="C16" s="39" t="s">
        <v>58</v>
      </c>
      <c r="D16" s="79">
        <v>2.74</v>
      </c>
      <c r="E16" s="52"/>
      <c r="F16" s="79"/>
    </row>
    <row r="17" spans="1:15" ht="27" x14ac:dyDescent="0.3">
      <c r="A17" s="5" t="s">
        <v>77</v>
      </c>
      <c r="B17" s="23" t="str">
        <f t="shared" si="0"/>
        <v>Bonos de la Tesorería General de la República, en pesos</v>
      </c>
      <c r="C17" s="39" t="s">
        <v>56</v>
      </c>
      <c r="D17" s="79">
        <v>9.6</v>
      </c>
      <c r="E17" s="51"/>
      <c r="F17" s="79"/>
      <c r="K17" t="s">
        <v>125</v>
      </c>
      <c r="L17" s="12">
        <f>+L19/$J$19</f>
        <v>0.52924850555081127</v>
      </c>
      <c r="M17" s="12">
        <f>+M19/$J$19</f>
        <v>0.25811272416737824</v>
      </c>
    </row>
    <row r="18" spans="1:15" ht="27" x14ac:dyDescent="0.3">
      <c r="A18" s="5" t="s">
        <v>79</v>
      </c>
      <c r="B18" s="23" t="str">
        <f t="shared" si="0"/>
        <v>Bonos de la Tesorería General de la República en UF</v>
      </c>
      <c r="C18" s="39" t="s">
        <v>58</v>
      </c>
      <c r="D18" s="79">
        <v>24.69</v>
      </c>
      <c r="E18" s="51"/>
      <c r="F18" s="79"/>
      <c r="L18" s="64" t="s">
        <v>58</v>
      </c>
      <c r="M18" s="64" t="s">
        <v>104</v>
      </c>
      <c r="N18" t="s">
        <v>105</v>
      </c>
    </row>
    <row r="19" spans="1:15" ht="15.75" x14ac:dyDescent="0.3">
      <c r="A19" s="5" t="s">
        <v>81</v>
      </c>
      <c r="B19" s="23" t="str">
        <f t="shared" si="0"/>
        <v>Bonos Vivienda leasing</v>
      </c>
      <c r="C19" s="39" t="s">
        <v>58</v>
      </c>
      <c r="D19" s="79">
        <v>0.03</v>
      </c>
      <c r="E19" s="51"/>
      <c r="F19" s="79"/>
      <c r="G19" s="16">
        <f t="shared" ref="G19:G24" si="1">+I19*100-L19-M19-N19</f>
        <v>-5.0700000000000038</v>
      </c>
      <c r="H19" s="29" t="s">
        <v>21</v>
      </c>
      <c r="I19" s="9">
        <f>+'tipo y dur'!F5</f>
        <v>0.41770000000000002</v>
      </c>
      <c r="J19" s="57">
        <f>+D4+D8+D15+D17+D18+D19+D31+D5+D6+D7+D10+D20+D26+D9</f>
        <v>46.840000000000011</v>
      </c>
      <c r="K19" s="12">
        <f t="shared" ref="K19:K24" si="2">+I19-J19/100</f>
        <v>-5.0700000000000078E-2</v>
      </c>
      <c r="L19" s="64">
        <f>+D8+D18+D19+D20+D6+D26</f>
        <v>24.790000000000006</v>
      </c>
      <c r="M19" s="64">
        <f>+D4+D15+D17+D31+D5+D9</f>
        <v>12.09</v>
      </c>
      <c r="N19">
        <f>+D7+D10</f>
        <v>9.9600000000000009</v>
      </c>
      <c r="O19" s="57">
        <f t="shared" ref="O19:O24" si="3">+L19+M19+N19-J19</f>
        <v>0</v>
      </c>
    </row>
    <row r="20" spans="1:15" ht="27" x14ac:dyDescent="0.3">
      <c r="A20" s="5" t="s">
        <v>83</v>
      </c>
      <c r="B20" s="23" t="str">
        <f t="shared" si="0"/>
        <v>Cupones de emisión reajustables opcionales en dólares</v>
      </c>
      <c r="C20" s="39" t="s">
        <v>58</v>
      </c>
      <c r="D20" s="79">
        <v>0.03</v>
      </c>
      <c r="E20" s="51"/>
      <c r="F20" s="79"/>
      <c r="G20" s="16">
        <f t="shared" si="1"/>
        <v>-2.15</v>
      </c>
      <c r="H20" s="30" t="s">
        <v>22</v>
      </c>
      <c r="I20" s="9">
        <f>+'tipo y dur'!F6</f>
        <v>0.25600000000000001</v>
      </c>
      <c r="J20" s="57">
        <f>+D11+D12+D13+D16+D21+D22+D23+D30+D14</f>
        <v>27.75</v>
      </c>
      <c r="K20" s="12">
        <f t="shared" si="2"/>
        <v>-2.1500000000000019E-2</v>
      </c>
      <c r="L20" s="64">
        <f>+D12+D16+D22+D14</f>
        <v>24.67</v>
      </c>
      <c r="M20" s="64">
        <f>+D11+D21+D30</f>
        <v>0.25</v>
      </c>
      <c r="N20">
        <f>+D13+D23</f>
        <v>2.8299999999999996</v>
      </c>
      <c r="O20">
        <f t="shared" si="3"/>
        <v>0</v>
      </c>
    </row>
    <row r="21" spans="1:15" ht="15.75" x14ac:dyDescent="0.3">
      <c r="A21" s="5" t="s">
        <v>85</v>
      </c>
      <c r="B21" s="24" t="str">
        <f t="shared" si="0"/>
        <v>Bonos de Empresas Públicas y Privadas</v>
      </c>
      <c r="C21" s="39" t="s">
        <v>56</v>
      </c>
      <c r="D21" s="79">
        <v>0.12</v>
      </c>
      <c r="E21" s="52"/>
      <c r="F21" s="79"/>
      <c r="G21" s="16">
        <f t="shared" si="1"/>
        <v>7.2499999999999982</v>
      </c>
      <c r="H21" s="31" t="s">
        <v>23</v>
      </c>
      <c r="I21" s="9">
        <f>+'tipo y dur'!F7</f>
        <v>0.23649999999999999</v>
      </c>
      <c r="J21" s="57">
        <f>+D28+D29+D27</f>
        <v>16.399999999999999</v>
      </c>
      <c r="K21" s="12">
        <f t="shared" si="2"/>
        <v>7.2500000000000009E-2</v>
      </c>
      <c r="L21" s="64">
        <f>+D29</f>
        <v>7.3</v>
      </c>
      <c r="M21" s="64">
        <f>+D28+D27</f>
        <v>9.1</v>
      </c>
      <c r="O21">
        <f t="shared" si="3"/>
        <v>0</v>
      </c>
    </row>
    <row r="22" spans="1:15" ht="15.75" x14ac:dyDescent="0.3">
      <c r="A22" s="5" t="s">
        <v>85</v>
      </c>
      <c r="B22" s="24" t="str">
        <f t="shared" si="0"/>
        <v>Bonos de Empresas Públicas y Privadas</v>
      </c>
      <c r="C22" s="39" t="s">
        <v>58</v>
      </c>
      <c r="D22" s="79">
        <v>8.25</v>
      </c>
      <c r="E22" s="52"/>
      <c r="F22" s="79"/>
      <c r="G22" s="16">
        <f t="shared" si="1"/>
        <v>-0.10000000000000009</v>
      </c>
      <c r="H22" s="32" t="s">
        <v>24</v>
      </c>
      <c r="I22" s="9">
        <f>+'tipo y dur'!F8</f>
        <v>4.5999999999999999E-3</v>
      </c>
      <c r="J22" s="57">
        <f>+D24+D25</f>
        <v>0.56000000000000005</v>
      </c>
      <c r="K22" s="12">
        <f t="shared" si="2"/>
        <v>-1.0000000000000009E-3</v>
      </c>
      <c r="L22" s="64">
        <f>+D25+D24</f>
        <v>0.56000000000000005</v>
      </c>
      <c r="M22" s="64"/>
      <c r="O22">
        <f t="shared" si="3"/>
        <v>0</v>
      </c>
    </row>
    <row r="23" spans="1:15" ht="15.75" x14ac:dyDescent="0.3">
      <c r="A23" s="5" t="s">
        <v>85</v>
      </c>
      <c r="B23" s="24" t="str">
        <f t="shared" si="0"/>
        <v>Bonos de Empresas Públicas y Privadas</v>
      </c>
      <c r="C23" s="39" t="s">
        <v>57</v>
      </c>
      <c r="D23" s="79">
        <v>2.2599999999999998</v>
      </c>
      <c r="E23" s="52"/>
      <c r="F23" s="79"/>
      <c r="G23" s="16">
        <f t="shared" si="1"/>
        <v>4.49</v>
      </c>
      <c r="H23" s="8" t="s">
        <v>25</v>
      </c>
      <c r="I23" s="9">
        <f>+'tipo y dur'!F9</f>
        <v>4.4900000000000002E-2</v>
      </c>
      <c r="J23" s="57">
        <f>+I23*100</f>
        <v>4.49</v>
      </c>
      <c r="K23" s="12">
        <f t="shared" si="2"/>
        <v>0</v>
      </c>
      <c r="L23" s="64"/>
      <c r="M23" s="64"/>
      <c r="O23" s="57">
        <f t="shared" si="3"/>
        <v>-4.49</v>
      </c>
    </row>
    <row r="24" spans="1:15" ht="27.75" thickBot="1" x14ac:dyDescent="0.35">
      <c r="A24" s="5" t="s">
        <v>93</v>
      </c>
      <c r="B24" s="25" t="str">
        <f t="shared" si="0"/>
        <v>letras de crédito emitidas por Instituciones Financieras</v>
      </c>
      <c r="C24" s="39" t="s">
        <v>59</v>
      </c>
      <c r="D24" s="79">
        <v>0</v>
      </c>
      <c r="E24" s="54"/>
      <c r="F24" s="79"/>
      <c r="G24" s="16">
        <f t="shared" si="1"/>
        <v>0</v>
      </c>
      <c r="H24" s="33" t="s">
        <v>26</v>
      </c>
      <c r="I24" s="11">
        <f>+'tipo y dur'!F10</f>
        <v>4.0299999999999996E-2</v>
      </c>
      <c r="J24" s="57">
        <f>+D34+D36+D37+D38+D40+D41+D42+D43+D39+D35+D33</f>
        <v>1.83</v>
      </c>
      <c r="K24" s="12">
        <f t="shared" si="2"/>
        <v>2.1999999999999995E-2</v>
      </c>
      <c r="L24" s="64">
        <f>+D34</f>
        <v>0.01</v>
      </c>
      <c r="M24" s="64"/>
      <c r="N24">
        <f>+D33+D36+D37+D38+D40+D41+D42+D35+K24*100</f>
        <v>4.0199999999999996</v>
      </c>
      <c r="O24">
        <f t="shared" si="3"/>
        <v>2.1999999999999993</v>
      </c>
    </row>
    <row r="25" spans="1:15" ht="27" x14ac:dyDescent="0.3">
      <c r="A25" s="5" t="s">
        <v>93</v>
      </c>
      <c r="B25" s="25" t="str">
        <f t="shared" si="0"/>
        <v>letras de crédito emitidas por Instituciones Financieras</v>
      </c>
      <c r="C25" s="39" t="s">
        <v>58</v>
      </c>
      <c r="D25" s="79">
        <v>0.56000000000000005</v>
      </c>
      <c r="E25" s="54"/>
      <c r="F25" s="79"/>
      <c r="I25" s="13">
        <f>SUM(I19:I24)</f>
        <v>1</v>
      </c>
      <c r="J25" s="13">
        <f>SUM(J19:J24)/100</f>
        <v>0.97870000000000001</v>
      </c>
      <c r="K25" s="13">
        <f>SUM(K19:K24)</f>
        <v>2.1299999999999906E-2</v>
      </c>
    </row>
    <row r="26" spans="1:15" ht="15.75" x14ac:dyDescent="0.3">
      <c r="A26" s="5" t="s">
        <v>97</v>
      </c>
      <c r="B26" s="23" t="str">
        <f t="shared" si="0"/>
        <v>Pagarés reajustables con pago de cupones</v>
      </c>
      <c r="C26" s="39" t="s">
        <v>58</v>
      </c>
      <c r="D26" s="76">
        <v>0.01</v>
      </c>
      <c r="E26" s="51"/>
      <c r="F26" s="79"/>
      <c r="J26" s="58">
        <f>+SUM(D4:D43,J23)</f>
        <v>97.870000000000019</v>
      </c>
    </row>
    <row r="27" spans="1:15" ht="15.75" x14ac:dyDescent="0.3">
      <c r="B27" s="28" t="s">
        <v>103</v>
      </c>
      <c r="C27" s="66" t="s">
        <v>56</v>
      </c>
      <c r="D27" s="71">
        <v>0</v>
      </c>
      <c r="E27" s="53"/>
      <c r="J27" s="16">
        <f>+J26-J25*100</f>
        <v>0</v>
      </c>
    </row>
    <row r="28" spans="1:15" ht="27" x14ac:dyDescent="0.3">
      <c r="A28" s="5" t="s">
        <v>87</v>
      </c>
      <c r="B28" s="27" t="str">
        <f>+VLOOKUP(A28,$A$45:$B$64,2,0)</f>
        <v>Depósitos a plazo y pagarés emitidos por Instituciones Financieras</v>
      </c>
      <c r="C28" s="85" t="s">
        <v>56</v>
      </c>
      <c r="D28" s="79">
        <v>9.1</v>
      </c>
      <c r="E28" s="53"/>
    </row>
    <row r="29" spans="1:15" ht="27" x14ac:dyDescent="0.3">
      <c r="A29" s="5" t="s">
        <v>87</v>
      </c>
      <c r="B29" s="27" t="str">
        <f t="shared" ref="B29:B34" si="4">+VLOOKUP(A29,$A$45:$B$64,2,0)</f>
        <v>Depósitos a plazo y pagarés emitidos por Instituciones Financieras</v>
      </c>
      <c r="C29" s="39" t="s">
        <v>58</v>
      </c>
      <c r="D29" s="79">
        <v>7.3</v>
      </c>
      <c r="E29" s="53"/>
    </row>
    <row r="30" spans="1:15" ht="15.75" x14ac:dyDescent="0.3">
      <c r="A30" s="5" t="s">
        <v>91</v>
      </c>
      <c r="B30" s="24" t="str">
        <f t="shared" si="4"/>
        <v>Efectos de Comercio</v>
      </c>
      <c r="C30" s="39" t="s">
        <v>56</v>
      </c>
      <c r="D30" s="79">
        <v>0</v>
      </c>
      <c r="E30" s="52"/>
    </row>
    <row r="31" spans="1:15" ht="15.75" x14ac:dyDescent="0.3">
      <c r="A31" s="5" t="s">
        <v>95</v>
      </c>
      <c r="B31" s="23" t="str">
        <f t="shared" si="4"/>
        <v>Pagarés descontables del Banco Central</v>
      </c>
      <c r="C31" s="39" t="s">
        <v>56</v>
      </c>
      <c r="D31" s="71">
        <v>0</v>
      </c>
      <c r="E31" s="51"/>
    </row>
    <row r="32" spans="1:15" ht="15.75" x14ac:dyDescent="0.3">
      <c r="A32" s="5"/>
      <c r="B32" s="23"/>
      <c r="C32" s="229" t="s">
        <v>61</v>
      </c>
    </row>
    <row r="33" spans="1:5" ht="15.75" x14ac:dyDescent="0.3">
      <c r="A33" s="5" t="s">
        <v>69</v>
      </c>
      <c r="B33" s="26" t="str">
        <f t="shared" si="4"/>
        <v>Bonos emitidos por empresas extranjeras</v>
      </c>
      <c r="C33" s="229"/>
      <c r="D33" s="74">
        <v>0.02</v>
      </c>
      <c r="E33" s="55"/>
    </row>
    <row r="34" spans="1:5" ht="15.75" x14ac:dyDescent="0.3">
      <c r="A34" s="5" t="s">
        <v>69</v>
      </c>
      <c r="B34" s="26" t="str">
        <f t="shared" si="4"/>
        <v>Bonos emitidos por empresas extranjeras</v>
      </c>
      <c r="C34" s="39" t="s">
        <v>58</v>
      </c>
      <c r="D34" s="71">
        <v>0.01</v>
      </c>
      <c r="E34" s="55"/>
    </row>
    <row r="35" spans="1:5" ht="15.75" x14ac:dyDescent="0.3">
      <c r="A35" s="5" t="s">
        <v>69</v>
      </c>
      <c r="B35" s="26"/>
      <c r="C35" s="92" t="s">
        <v>164</v>
      </c>
      <c r="D35" s="70">
        <v>0.01</v>
      </c>
      <c r="E35" s="55"/>
    </row>
    <row r="36" spans="1:5" ht="27" x14ac:dyDescent="0.3">
      <c r="A36" s="5" t="s">
        <v>89</v>
      </c>
      <c r="B36" s="26" t="str">
        <f>+VLOOKUP(A36,$A$45:$B$64,2,0)</f>
        <v>Títulos de crédito emitidos por Estados extranjeros y Bancos Centrales extranjeros</v>
      </c>
      <c r="C36" s="39" t="s">
        <v>60</v>
      </c>
      <c r="D36" s="70">
        <v>0.01</v>
      </c>
      <c r="E36" s="55"/>
    </row>
    <row r="37" spans="1:5" ht="27" x14ac:dyDescent="0.3">
      <c r="A37" s="5" t="s">
        <v>89</v>
      </c>
      <c r="B37" s="26" t="str">
        <f>+VLOOKUP(A37,$A$45:$B$64,2,0)</f>
        <v>Títulos de crédito emitidos por Estados extranjeros y Bancos Centrales extranjeros</v>
      </c>
      <c r="C37" s="39" t="s">
        <v>61</v>
      </c>
      <c r="D37" s="71">
        <v>1.29</v>
      </c>
      <c r="E37" s="55"/>
    </row>
    <row r="38" spans="1:5" ht="27" x14ac:dyDescent="0.3">
      <c r="A38" s="5" t="s">
        <v>89</v>
      </c>
      <c r="B38" s="26" t="str">
        <f>+VLOOKUP(A38,$A$45:$B$64,2,0)</f>
        <v>Títulos de crédito emitidos por Estados extranjeros y Bancos Centrales extranjeros</v>
      </c>
      <c r="C38" s="39" t="s">
        <v>57</v>
      </c>
      <c r="D38" s="71">
        <v>0.49</v>
      </c>
      <c r="E38" s="55"/>
    </row>
    <row r="39" spans="1:5" ht="15.75" x14ac:dyDescent="0.3">
      <c r="A39" s="5" t="s">
        <v>89</v>
      </c>
      <c r="B39" s="26"/>
      <c r="C39" s="82" t="s">
        <v>163</v>
      </c>
      <c r="D39" s="71">
        <v>0</v>
      </c>
      <c r="E39" s="55"/>
    </row>
    <row r="40" spans="1:5" ht="27" x14ac:dyDescent="0.3">
      <c r="A40" s="5" t="s">
        <v>99</v>
      </c>
      <c r="B40" s="26" t="str">
        <f>+VLOOKUP(A40,$A$45:$B$64,2,0)</f>
        <v>Títulos de crédito de renta fija emitidos por entidades bancarias extranjeras</v>
      </c>
      <c r="C40" s="39" t="s">
        <v>60</v>
      </c>
      <c r="D40" s="71">
        <v>0</v>
      </c>
      <c r="E40" s="55"/>
    </row>
    <row r="41" spans="1:5" ht="27.75" thickBot="1" x14ac:dyDescent="0.35">
      <c r="A41" s="5" t="s">
        <v>99</v>
      </c>
      <c r="B41" s="26" t="str">
        <f>+VLOOKUP(A41,$A$45:$B$64,2,0)</f>
        <v>Títulos de crédito de renta fija emitidos por entidades bancarias extranjeras</v>
      </c>
      <c r="C41" s="39" t="s">
        <v>61</v>
      </c>
      <c r="D41" s="62">
        <v>0</v>
      </c>
      <c r="E41" s="55"/>
    </row>
    <row r="42" spans="1:5" ht="27" x14ac:dyDescent="0.3">
      <c r="A42" s="5" t="s">
        <v>99</v>
      </c>
      <c r="B42" s="26" t="str">
        <f>+VLOOKUP(A42,$A$45:$B$64,2,0)</f>
        <v>Títulos de crédito de renta fija emitidos por entidades bancarias extranjeras</v>
      </c>
      <c r="C42" s="39" t="s">
        <v>57</v>
      </c>
      <c r="E42" s="55"/>
    </row>
    <row r="43" spans="1:5" ht="27.75" thickBot="1" x14ac:dyDescent="0.35">
      <c r="A43" s="17" t="s">
        <v>101</v>
      </c>
      <c r="B43" s="26" t="str">
        <f>+VLOOKUP(A43,$A$45:$B$64,2,0)</f>
        <v>Títulos de crédito emitidos por entidades bancarias internacionales</v>
      </c>
      <c r="C43" s="18" t="s">
        <v>62</v>
      </c>
      <c r="D43" s="62">
        <v>0</v>
      </c>
      <c r="E43" s="55"/>
    </row>
    <row r="45" spans="1:5" ht="27" x14ac:dyDescent="0.25">
      <c r="A45" s="21" t="s">
        <v>63</v>
      </c>
      <c r="B45" s="22" t="s">
        <v>64</v>
      </c>
    </row>
    <row r="46" spans="1:5" ht="27" x14ac:dyDescent="0.25">
      <c r="A46" s="21" t="s">
        <v>65</v>
      </c>
      <c r="B46" s="22" t="s">
        <v>66</v>
      </c>
    </row>
    <row r="47" spans="1:5" ht="27" x14ac:dyDescent="0.25">
      <c r="A47" s="21" t="s">
        <v>67</v>
      </c>
      <c r="B47" s="22" t="s">
        <v>68</v>
      </c>
    </row>
    <row r="48" spans="1:5" x14ac:dyDescent="0.25">
      <c r="A48" s="21" t="s">
        <v>69</v>
      </c>
      <c r="B48" s="22" t="s">
        <v>70</v>
      </c>
    </row>
    <row r="49" spans="1:2" ht="27" x14ac:dyDescent="0.25">
      <c r="A49" s="21" t="s">
        <v>71</v>
      </c>
      <c r="B49" s="22" t="s">
        <v>72</v>
      </c>
    </row>
    <row r="50" spans="1:2" ht="27" x14ac:dyDescent="0.25">
      <c r="A50" s="21" t="s">
        <v>73</v>
      </c>
      <c r="B50" s="22" t="s">
        <v>74</v>
      </c>
    </row>
    <row r="51" spans="1:2" ht="27" x14ac:dyDescent="0.25">
      <c r="A51" s="21" t="s">
        <v>75</v>
      </c>
      <c r="B51" s="22" t="s">
        <v>76</v>
      </c>
    </row>
    <row r="52" spans="1:2" ht="27" x14ac:dyDescent="0.25">
      <c r="A52" s="21" t="s">
        <v>77</v>
      </c>
      <c r="B52" s="22" t="s">
        <v>78</v>
      </c>
    </row>
    <row r="53" spans="1:2" ht="27" x14ac:dyDescent="0.25">
      <c r="A53" s="21" t="s">
        <v>79</v>
      </c>
      <c r="B53" s="22" t="s">
        <v>80</v>
      </c>
    </row>
    <row r="54" spans="1:2" x14ac:dyDescent="0.25">
      <c r="A54" s="21" t="s">
        <v>81</v>
      </c>
      <c r="B54" s="22" t="s">
        <v>82</v>
      </c>
    </row>
    <row r="55" spans="1:2" ht="27" x14ac:dyDescent="0.25">
      <c r="A55" s="21" t="s">
        <v>83</v>
      </c>
      <c r="B55" s="22" t="s">
        <v>84</v>
      </c>
    </row>
    <row r="56" spans="1:2" x14ac:dyDescent="0.25">
      <c r="A56" s="21" t="s">
        <v>85</v>
      </c>
      <c r="B56" s="22" t="s">
        <v>86</v>
      </c>
    </row>
    <row r="57" spans="1:2" ht="27" x14ac:dyDescent="0.25">
      <c r="A57" s="21" t="s">
        <v>87</v>
      </c>
      <c r="B57" s="22" t="s">
        <v>88</v>
      </c>
    </row>
    <row r="58" spans="1:2" ht="27" x14ac:dyDescent="0.25">
      <c r="A58" s="21" t="s">
        <v>89</v>
      </c>
      <c r="B58" s="22" t="s">
        <v>90</v>
      </c>
    </row>
    <row r="59" spans="1:2" x14ac:dyDescent="0.25">
      <c r="A59" s="21" t="s">
        <v>91</v>
      </c>
      <c r="B59" s="22" t="s">
        <v>92</v>
      </c>
    </row>
    <row r="60" spans="1:2" ht="27" x14ac:dyDescent="0.25">
      <c r="A60" s="21" t="s">
        <v>93</v>
      </c>
      <c r="B60" s="22" t="s">
        <v>94</v>
      </c>
    </row>
    <row r="61" spans="1:2" x14ac:dyDescent="0.25">
      <c r="A61" s="21" t="s">
        <v>95</v>
      </c>
      <c r="B61" s="22" t="s">
        <v>96</v>
      </c>
    </row>
    <row r="62" spans="1:2" x14ac:dyDescent="0.25">
      <c r="A62" s="21" t="s">
        <v>97</v>
      </c>
      <c r="B62" s="22" t="s">
        <v>98</v>
      </c>
    </row>
    <row r="63" spans="1:2" ht="27" x14ac:dyDescent="0.25">
      <c r="A63" s="21" t="s">
        <v>99</v>
      </c>
      <c r="B63" s="22" t="s">
        <v>100</v>
      </c>
    </row>
    <row r="64" spans="1:2" ht="27" x14ac:dyDescent="0.25">
      <c r="A64" s="21" t="s">
        <v>101</v>
      </c>
      <c r="B64" s="22" t="s">
        <v>102</v>
      </c>
    </row>
    <row r="65" spans="1:2" x14ac:dyDescent="0.25">
      <c r="A65" s="21" t="s">
        <v>127</v>
      </c>
      <c r="B65" s="22" t="s">
        <v>128</v>
      </c>
    </row>
    <row r="66" spans="1:2" x14ac:dyDescent="0.25">
      <c r="A66" s="21" t="s">
        <v>153</v>
      </c>
      <c r="B66" s="22" t="s">
        <v>154</v>
      </c>
    </row>
  </sheetData>
  <autoFilter ref="A3:D43"/>
  <mergeCells count="4">
    <mergeCell ref="C32:C33"/>
    <mergeCell ref="A1:A2"/>
    <mergeCell ref="C1:C2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Cuadro 2 (columna AD-AC)</vt:lpstr>
      <vt:lpstr>Cuadro 3</vt:lpstr>
      <vt:lpstr>Cuadro 4</vt:lpstr>
      <vt:lpstr>Cuadro 7</vt:lpstr>
      <vt:lpstr>Resumen</vt:lpstr>
      <vt:lpstr>tipo y dur</vt:lpstr>
      <vt:lpstr>Hoja3</vt:lpstr>
      <vt:lpstr>Hoja1</vt:lpstr>
      <vt:lpstr>moneda</vt:lpstr>
      <vt:lpstr>rating</vt:lpstr>
      <vt:lpstr>Moneda AFP E+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IM-TRUST</dc:creator>
  <cp:lastModifiedBy>Juan Pablo Araujo Guerra</cp:lastModifiedBy>
  <dcterms:created xsi:type="dcterms:W3CDTF">2011-07-12T15:11:18Z</dcterms:created>
  <dcterms:modified xsi:type="dcterms:W3CDTF">2016-10-11T20:25:58Z</dcterms:modified>
</cp:coreProperties>
</file>