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Rates &amp; FX\JPA\E+\"/>
    </mc:Choice>
  </mc:AlternateContent>
  <bookViews>
    <workbookView xWindow="0" yWindow="0" windowWidth="28800" windowHeight="11610" activeTab="6"/>
  </bookViews>
  <sheets>
    <sheet name="Cuadro 2 (columna AD-AC)" sheetId="11" r:id="rId1"/>
    <sheet name="Cuadro 3" sheetId="10" r:id="rId2"/>
    <sheet name="Cuadro 4" sheetId="8" r:id="rId3"/>
    <sheet name="Cuadro 7" sheetId="9" r:id="rId4"/>
    <sheet name="Cuadro 27 (CP)" sheetId="13" r:id="rId5"/>
    <sheet name="Cuadro 22 (D)" sheetId="15" r:id="rId6"/>
    <sheet name="Resumen" sheetId="12" r:id="rId7"/>
    <sheet name="tipo y dur" sheetId="1" r:id="rId8"/>
    <sheet name="Hoja3" sheetId="7" r:id="rId9"/>
    <sheet name="Hoja1" sheetId="5" r:id="rId10"/>
    <sheet name="moneda" sheetId="2" r:id="rId11"/>
    <sheet name="rating" sheetId="3" r:id="rId12"/>
    <sheet name="Moneda AFP E+" sheetId="4" r:id="rId13"/>
    <sheet name="Hoja2" sheetId="6" r:id="rId14"/>
    <sheet name="Hoja5" sheetId="14" r:id="rId15"/>
    <sheet name="Hoja7" sheetId="16" r:id="rId16"/>
    <sheet name="Hoja8" sheetId="17" r:id="rId17"/>
  </sheets>
  <definedNames>
    <definedName name="_xlnm._FilterDatabase" localSheetId="15" hidden="1">Hoja7!$B$2:$J$291</definedName>
    <definedName name="_xlnm._FilterDatabase" localSheetId="10" hidden="1">moneda!$A$3:$D$43</definedName>
  </definedNames>
  <calcPr calcId="171027" iterate="1" iterateCount="50"/>
</workbook>
</file>

<file path=xl/calcChain.xml><?xml version="1.0" encoding="utf-8"?>
<calcChain xmlns="http://schemas.openxmlformats.org/spreadsheetml/2006/main">
  <c r="J2" i="13" l="1"/>
  <c r="G37" i="17" l="1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" i="12"/>
  <c r="AB38" i="12" l="1"/>
  <c r="F53" i="12" l="1"/>
  <c r="F31" i="12"/>
  <c r="AF29" i="12"/>
  <c r="AG29" i="12"/>
  <c r="AG34" i="12"/>
  <c r="K2" i="13"/>
  <c r="M42" i="12"/>
  <c r="M29" i="12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AF33" i="12" s="1"/>
  <c r="K89" i="13"/>
  <c r="AG33" i="12" s="1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J3" i="13"/>
  <c r="J4" i="13"/>
  <c r="J5" i="13" s="1"/>
  <c r="J6" i="13" s="1"/>
  <c r="J7" i="13"/>
  <c r="J9" i="13"/>
  <c r="J10" i="13" s="1"/>
  <c r="J11" i="13"/>
  <c r="J12" i="13" s="1"/>
  <c r="J13" i="13"/>
  <c r="J14" i="13" s="1"/>
  <c r="J15" i="13"/>
  <c r="J16" i="13"/>
  <c r="J17" i="13"/>
  <c r="J19" i="13"/>
  <c r="J20" i="13" s="1"/>
  <c r="J42" i="13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/>
  <c r="J72" i="13"/>
  <c r="J73" i="13"/>
  <c r="J74" i="13"/>
  <c r="J75" i="13"/>
  <c r="J76" i="13"/>
  <c r="J77" i="13"/>
  <c r="J78" i="13" s="1"/>
  <c r="J79" i="13"/>
  <c r="J80" i="13" s="1"/>
  <c r="J81" i="13"/>
  <c r="J82" i="13"/>
  <c r="J83" i="13"/>
  <c r="J84" i="13" s="1"/>
  <c r="J85" i="13"/>
  <c r="J86" i="13" s="1"/>
  <c r="J87" i="13"/>
  <c r="J88" i="13"/>
  <c r="J89" i="13"/>
  <c r="J90" i="13"/>
  <c r="J91" i="13"/>
  <c r="J92" i="13"/>
  <c r="J93" i="13"/>
  <c r="J94" i="13" s="1"/>
  <c r="J95" i="13"/>
  <c r="J96" i="13" s="1"/>
  <c r="J97" i="13"/>
  <c r="J98" i="13" s="1"/>
  <c r="J99" i="13"/>
  <c r="J100" i="13"/>
  <c r="J101" i="13"/>
  <c r="J102" i="13" s="1"/>
  <c r="J103" i="13"/>
  <c r="AF30" i="12" s="1"/>
  <c r="J104" i="13"/>
  <c r="J105" i="13"/>
  <c r="J106" i="13"/>
  <c r="J107" i="13"/>
  <c r="J108" i="13"/>
  <c r="J109" i="13"/>
  <c r="J110" i="13" s="1"/>
  <c r="J111" i="13"/>
  <c r="J112" i="13" s="1"/>
  <c r="J113" i="13"/>
  <c r="J115" i="13"/>
  <c r="J116" i="13" s="1"/>
  <c r="J117" i="13"/>
  <c r="J118" i="13" s="1"/>
  <c r="J119" i="13"/>
  <c r="J120" i="13"/>
  <c r="J121" i="13"/>
  <c r="J122" i="13"/>
  <c r="J123" i="13"/>
  <c r="J124" i="13"/>
  <c r="J125" i="13"/>
  <c r="J126" i="13" s="1"/>
  <c r="J127" i="13"/>
  <c r="J128" i="13"/>
  <c r="J129" i="13"/>
  <c r="J130" i="13" s="1"/>
  <c r="J131" i="13"/>
  <c r="J133" i="13"/>
  <c r="J134" i="13" s="1"/>
  <c r="J135" i="13"/>
  <c r="J136" i="13"/>
  <c r="J137" i="13"/>
  <c r="J138" i="13"/>
  <c r="J139" i="13"/>
  <c r="J140" i="13"/>
  <c r="J141" i="13"/>
  <c r="J142" i="13" s="1"/>
  <c r="J143" i="13"/>
  <c r="J144" i="13" s="1"/>
  <c r="J145" i="13"/>
  <c r="J146" i="13"/>
  <c r="J147" i="13"/>
  <c r="J149" i="13"/>
  <c r="J150" i="13" s="1"/>
  <c r="J151" i="13" s="1"/>
  <c r="J152" i="13" s="1"/>
  <c r="J153" i="13" s="1"/>
  <c r="J154" i="13" s="1"/>
  <c r="J155" i="13" s="1"/>
  <c r="J156" i="13" s="1"/>
  <c r="J157" i="13" s="1"/>
  <c r="J158" i="13" s="1"/>
  <c r="J159" i="13" s="1"/>
  <c r="J160" i="13" s="1"/>
  <c r="J161" i="13" s="1"/>
  <c r="J162" i="13" s="1"/>
  <c r="J163" i="13" s="1"/>
  <c r="J164" i="13" s="1"/>
  <c r="J165" i="13" s="1"/>
  <c r="J166" i="13" s="1"/>
  <c r="J167" i="13" s="1"/>
  <c r="J168" i="13" s="1"/>
  <c r="J169" i="13" s="1"/>
  <c r="J170" i="13" s="1"/>
  <c r="J171" i="13" s="1"/>
  <c r="J172" i="13" s="1"/>
  <c r="J173" i="13" s="1"/>
  <c r="J174" i="13" s="1"/>
  <c r="J175" i="13" s="1"/>
  <c r="J176" i="13" s="1"/>
  <c r="J177" i="13" s="1"/>
  <c r="J178" i="13" s="1"/>
  <c r="J179" i="13" s="1"/>
  <c r="J180" i="13" s="1"/>
  <c r="J181" i="13" s="1"/>
  <c r="J182" i="13" s="1"/>
  <c r="J183" i="13" s="1"/>
  <c r="J184" i="13" s="1"/>
  <c r="J185" i="13" s="1"/>
  <c r="J186" i="13" s="1"/>
  <c r="J187" i="13" s="1"/>
  <c r="J188" i="13" s="1"/>
  <c r="J189" i="13" s="1"/>
  <c r="J190" i="13" s="1"/>
  <c r="J191" i="13" s="1"/>
  <c r="J192" i="13" s="1"/>
  <c r="J193" i="13" s="1"/>
  <c r="J194" i="13" s="1"/>
  <c r="J195" i="13" s="1"/>
  <c r="J196" i="13" s="1"/>
  <c r="J197" i="13" s="1"/>
  <c r="J198" i="13" s="1"/>
  <c r="J199" i="13" s="1"/>
  <c r="J200" i="13" s="1"/>
  <c r="J201" i="13" s="1"/>
  <c r="J202" i="13" s="1"/>
  <c r="J203" i="13" s="1"/>
  <c r="J204" i="13" s="1"/>
  <c r="J205" i="13" s="1"/>
  <c r="J206" i="13" s="1"/>
  <c r="J207" i="13" s="1"/>
  <c r="J208" i="13" s="1"/>
  <c r="J209" i="13" s="1"/>
  <c r="J210" i="13" s="1"/>
  <c r="J211" i="13" s="1"/>
  <c r="J212" i="13" s="1"/>
  <c r="J213" i="13" s="1"/>
  <c r="J214" i="13" s="1"/>
  <c r="J215" i="13" s="1"/>
  <c r="J216" i="13" s="1"/>
  <c r="J217" i="13" s="1"/>
  <c r="J218" i="13" s="1"/>
  <c r="J219" i="13" s="1"/>
  <c r="J220" i="13" s="1"/>
  <c r="J221" i="13" s="1"/>
  <c r="J222" i="13" s="1"/>
  <c r="J223" i="13" s="1"/>
  <c r="J224" i="13" s="1"/>
  <c r="J225" i="13" s="1"/>
  <c r="J226" i="13" s="1"/>
  <c r="J227" i="13" s="1"/>
  <c r="J228" i="13" s="1"/>
  <c r="J229" i="13" s="1"/>
  <c r="J230" i="13" s="1"/>
  <c r="J231" i="13" s="1"/>
  <c r="J232" i="13" s="1"/>
  <c r="J233" i="13" s="1"/>
  <c r="J234" i="13" s="1"/>
  <c r="J235" i="13" s="1"/>
  <c r="J236" i="13" s="1"/>
  <c r="J237" i="13" s="1"/>
  <c r="J238" i="13" s="1"/>
  <c r="J239" i="13" s="1"/>
  <c r="J240" i="13" s="1"/>
  <c r="J241" i="13" s="1"/>
  <c r="J242" i="13" s="1"/>
  <c r="J243" i="13" s="1"/>
  <c r="J244" i="13" s="1"/>
  <c r="J245" i="13" s="1"/>
  <c r="J246" i="13" s="1"/>
  <c r="J247" i="13" s="1"/>
  <c r="J248" i="13" s="1"/>
  <c r="J249" i="13" s="1"/>
  <c r="J250" i="13" s="1"/>
  <c r="J251" i="13" s="1"/>
  <c r="J252" i="13" s="1"/>
  <c r="J253" i="13" s="1"/>
  <c r="J254" i="13" s="1"/>
  <c r="J255" i="13" s="1"/>
  <c r="J256" i="13" s="1"/>
  <c r="J257" i="13" s="1"/>
  <c r="J258" i="13" s="1"/>
  <c r="J259" i="13" s="1"/>
  <c r="J260" i="13" s="1"/>
  <c r="J261" i="13" s="1"/>
  <c r="J262" i="13" s="1"/>
  <c r="J263" i="13" s="1"/>
  <c r="J264" i="13" s="1"/>
  <c r="J265" i="13" s="1"/>
  <c r="J266" i="13" s="1"/>
  <c r="J267" i="13" s="1"/>
  <c r="J268" i="13" s="1"/>
  <c r="J269" i="13" s="1"/>
  <c r="J270" i="13" s="1"/>
  <c r="J271" i="13" s="1"/>
  <c r="J272" i="13" s="1"/>
  <c r="J273" i="13" s="1"/>
  <c r="J274" i="13" s="1"/>
  <c r="J275" i="13" s="1"/>
  <c r="J276" i="13" s="1"/>
  <c r="J277" i="13" s="1"/>
  <c r="J278" i="13" s="1"/>
  <c r="J279" i="13" s="1"/>
  <c r="J280" i="13" s="1"/>
  <c r="J281" i="13" s="1"/>
  <c r="J282" i="13" s="1"/>
  <c r="J283" i="13" s="1"/>
  <c r="J284" i="13" s="1"/>
  <c r="J285" i="13" s="1"/>
  <c r="J286" i="13" s="1"/>
  <c r="J287" i="13" s="1"/>
  <c r="J288" i="13" s="1"/>
  <c r="J289" i="13" s="1"/>
  <c r="J290" i="13" s="1"/>
  <c r="J291" i="13" s="1"/>
  <c r="J292" i="13" s="1"/>
  <c r="J293" i="13" s="1"/>
  <c r="J294" i="13" s="1"/>
  <c r="J295" i="13" s="1"/>
  <c r="J296" i="13" s="1"/>
  <c r="J297" i="13" s="1"/>
  <c r="J298" i="13" s="1"/>
  <c r="J299" i="13" s="1"/>
  <c r="J300" i="13" s="1"/>
  <c r="J301" i="13" s="1"/>
  <c r="J302" i="13" s="1"/>
  <c r="J303" i="13" s="1"/>
  <c r="J304" i="13" s="1"/>
  <c r="J305" i="13" s="1"/>
  <c r="J306" i="13" s="1"/>
  <c r="J307" i="13" s="1"/>
  <c r="J308" i="13" s="1"/>
  <c r="J309" i="13" s="1"/>
  <c r="J310" i="13" s="1"/>
  <c r="J311" i="13" s="1"/>
  <c r="J312" i="13" s="1"/>
  <c r="J313" i="13" s="1"/>
  <c r="J314" i="13" s="1"/>
  <c r="J315" i="13" s="1"/>
  <c r="J316" i="13" s="1"/>
  <c r="J317" i="13" s="1"/>
  <c r="J318" i="13" s="1"/>
  <c r="J319" i="13" s="1"/>
  <c r="J320" i="13" s="1"/>
  <c r="J321" i="13" s="1"/>
  <c r="J322" i="13" s="1"/>
  <c r="J323" i="13" s="1"/>
  <c r="J324" i="13" s="1"/>
  <c r="J325" i="13" s="1"/>
  <c r="J326" i="13" s="1"/>
  <c r="J327" i="13" s="1"/>
  <c r="J328" i="13" s="1"/>
  <c r="J329" i="13" s="1"/>
  <c r="J330" i="13" s="1"/>
  <c r="J331" i="13" s="1"/>
  <c r="J332" i="13" s="1"/>
  <c r="J333" i="13" s="1"/>
  <c r="J334" i="13" s="1"/>
  <c r="J335" i="13" s="1"/>
  <c r="J336" i="13" s="1"/>
  <c r="J337" i="13" s="1"/>
  <c r="J338" i="13" s="1"/>
  <c r="J339" i="13" s="1"/>
  <c r="J340" i="13" s="1"/>
  <c r="J341" i="13" s="1"/>
  <c r="J342" i="13" s="1"/>
  <c r="J343" i="13" s="1"/>
  <c r="J344" i="13" s="1"/>
  <c r="J345" i="13" s="1"/>
  <c r="J346" i="13" s="1"/>
  <c r="J347" i="13" s="1"/>
  <c r="J348" i="13" s="1"/>
  <c r="J349" i="13" s="1"/>
  <c r="J350" i="13" s="1"/>
  <c r="J351" i="13" s="1"/>
  <c r="J352" i="13" s="1"/>
  <c r="J353" i="13" s="1"/>
  <c r="J354" i="13" s="1"/>
  <c r="J355" i="13" s="1"/>
  <c r="J356" i="13" s="1"/>
  <c r="J357" i="13" s="1"/>
  <c r="J358" i="13" s="1"/>
  <c r="J359" i="13" s="1"/>
  <c r="J360" i="13" s="1"/>
  <c r="J361" i="13" s="1"/>
  <c r="J362" i="13" s="1"/>
  <c r="J363" i="13" s="1"/>
  <c r="J364" i="13" s="1"/>
  <c r="J365" i="13" s="1"/>
  <c r="J366" i="13" s="1"/>
  <c r="J367" i="13" s="1"/>
  <c r="J368" i="13" s="1"/>
  <c r="J369" i="13" s="1"/>
  <c r="J370" i="13" s="1"/>
  <c r="J371" i="13" s="1"/>
  <c r="J372" i="13" s="1"/>
  <c r="J373" i="13" s="1"/>
  <c r="J374" i="13" s="1"/>
  <c r="J375" i="13" s="1"/>
  <c r="J376" i="13" s="1"/>
  <c r="J377" i="13" s="1"/>
  <c r="J378" i="13" s="1"/>
  <c r="J379" i="13" s="1"/>
  <c r="J380" i="13" s="1"/>
  <c r="J381" i="13" s="1"/>
  <c r="J382" i="13" s="1"/>
  <c r="J383" i="13" s="1"/>
  <c r="J384" i="13" s="1"/>
  <c r="J385" i="13" s="1"/>
  <c r="J386" i="13" s="1"/>
  <c r="J387" i="13" s="1"/>
  <c r="J388" i="13" s="1"/>
  <c r="J389" i="13" s="1"/>
  <c r="J390" i="13" s="1"/>
  <c r="J391" i="13" s="1"/>
  <c r="J392" i="13" s="1"/>
  <c r="J393" i="13" s="1"/>
  <c r="J394" i="13" s="1"/>
  <c r="J395" i="13" s="1"/>
  <c r="J396" i="13" s="1"/>
  <c r="J397" i="13" s="1"/>
  <c r="J398" i="13" s="1"/>
  <c r="J399" i="13" s="1"/>
  <c r="J400" i="13" s="1"/>
  <c r="J401" i="13" s="1"/>
  <c r="J402" i="13" s="1"/>
  <c r="J403" i="13" s="1"/>
  <c r="J404" i="13" s="1"/>
  <c r="J405" i="13" s="1"/>
  <c r="J406" i="13" s="1"/>
  <c r="J407" i="13" s="1"/>
  <c r="J408" i="13" s="1"/>
  <c r="J409" i="13" s="1"/>
  <c r="J410" i="13" s="1"/>
  <c r="J411" i="13" s="1"/>
  <c r="J412" i="13" s="1"/>
  <c r="J413" i="13" s="1"/>
  <c r="J414" i="13" s="1"/>
  <c r="J415" i="13" s="1"/>
  <c r="J416" i="13" s="1"/>
  <c r="J417" i="13" s="1"/>
  <c r="J418" i="13" s="1"/>
  <c r="J419" i="13" s="1"/>
  <c r="J420" i="13" s="1"/>
  <c r="J421" i="13" s="1"/>
  <c r="J422" i="13" s="1"/>
  <c r="J423" i="13" s="1"/>
  <c r="J424" i="13" s="1"/>
  <c r="J425" i="13" s="1"/>
  <c r="J426" i="13" s="1"/>
  <c r="J427" i="13" s="1"/>
  <c r="J428" i="13" s="1"/>
  <c r="J429" i="13" s="1"/>
  <c r="J430" i="13" s="1"/>
  <c r="J431" i="13" s="1"/>
  <c r="J432" i="13" s="1"/>
  <c r="J433" i="13" s="1"/>
  <c r="J434" i="13" s="1"/>
  <c r="J435" i="13" s="1"/>
  <c r="J436" i="13" s="1"/>
  <c r="J437" i="13" s="1"/>
  <c r="J438" i="13" s="1"/>
  <c r="J439" i="13" s="1"/>
  <c r="J440" i="13" s="1"/>
  <c r="J441" i="13" s="1"/>
  <c r="J442" i="13" s="1"/>
  <c r="J443" i="13" s="1"/>
  <c r="J444" i="13" s="1"/>
  <c r="J445" i="13" s="1"/>
  <c r="J446" i="13" s="1"/>
  <c r="J447" i="13" s="1"/>
  <c r="J448" i="13" s="1"/>
  <c r="J449" i="13" s="1"/>
  <c r="J450" i="13" s="1"/>
  <c r="J451" i="13" s="1"/>
  <c r="J452" i="13" s="1"/>
  <c r="J453" i="13" s="1"/>
  <c r="J454" i="13" s="1"/>
  <c r="J455" i="13" s="1"/>
  <c r="J456" i="13" s="1"/>
  <c r="J457" i="13" s="1"/>
  <c r="J458" i="13" s="1"/>
  <c r="J459" i="13" s="1"/>
  <c r="J460" i="13" s="1"/>
  <c r="J461" i="13" s="1"/>
  <c r="J462" i="13" s="1"/>
  <c r="J463" i="13" s="1"/>
  <c r="J464" i="13" s="1"/>
  <c r="J465" i="13" s="1"/>
  <c r="J466" i="13" s="1"/>
  <c r="J467" i="13" s="1"/>
  <c r="J468" i="13" s="1"/>
  <c r="J469" i="13" s="1"/>
  <c r="J470" i="13" s="1"/>
  <c r="J471" i="13" s="1"/>
  <c r="J472" i="13" s="1"/>
  <c r="J473" i="13" s="1"/>
  <c r="J474" i="13" s="1"/>
  <c r="J475" i="13" s="1"/>
  <c r="J476" i="13" s="1"/>
  <c r="J477" i="13" s="1"/>
  <c r="J478" i="13" s="1"/>
  <c r="J479" i="13" s="1"/>
  <c r="J480" i="13" s="1"/>
  <c r="J481" i="13" s="1"/>
  <c r="J482" i="13" s="1"/>
  <c r="J483" i="13" s="1"/>
  <c r="J484" i="13" s="1"/>
  <c r="J485" i="13" s="1"/>
  <c r="J486" i="13" s="1"/>
  <c r="J487" i="13" s="1"/>
  <c r="J488" i="13" s="1"/>
  <c r="J489" i="13" s="1"/>
  <c r="J490" i="13" s="1"/>
  <c r="J491" i="13" s="1"/>
  <c r="J492" i="13" s="1"/>
  <c r="J493" i="13" s="1"/>
  <c r="J494" i="13" s="1"/>
  <c r="J495" i="13" s="1"/>
  <c r="J496" i="13" s="1"/>
  <c r="J497" i="13" s="1"/>
  <c r="J498" i="13" s="1"/>
  <c r="J499" i="13" s="1"/>
  <c r="J500" i="13" s="1"/>
  <c r="J501" i="13" s="1"/>
  <c r="J502" i="13" s="1"/>
  <c r="J503" i="13" s="1"/>
  <c r="J504" i="13" s="1"/>
  <c r="J505" i="13" s="1"/>
  <c r="J506" i="13" s="1"/>
  <c r="J507" i="13" s="1"/>
  <c r="J508" i="13" s="1"/>
  <c r="J509" i="13" s="1"/>
  <c r="J510" i="13" s="1"/>
  <c r="J511" i="13" s="1"/>
  <c r="J512" i="13" s="1"/>
  <c r="J513" i="13" s="1"/>
  <c r="J514" i="13" s="1"/>
  <c r="J515" i="13" s="1"/>
  <c r="J516" i="13" s="1"/>
  <c r="J517" i="13" s="1"/>
  <c r="J518" i="13" s="1"/>
  <c r="J519" i="13" s="1"/>
  <c r="J520" i="13" s="1"/>
  <c r="J521" i="13" s="1"/>
  <c r="J522" i="13" s="1"/>
  <c r="J523" i="13" s="1"/>
  <c r="J524" i="13" s="1"/>
  <c r="J525" i="13" s="1"/>
  <c r="J526" i="13" s="1"/>
  <c r="J527" i="13" s="1"/>
  <c r="J528" i="13" s="1"/>
  <c r="J529" i="13" s="1"/>
  <c r="J530" i="13" s="1"/>
  <c r="J531" i="13" s="1"/>
  <c r="J532" i="13" s="1"/>
  <c r="J533" i="13" s="1"/>
  <c r="J534" i="13" s="1"/>
  <c r="J535" i="13" s="1"/>
  <c r="J536" i="13" s="1"/>
  <c r="J537" i="13" s="1"/>
  <c r="J538" i="13" s="1"/>
  <c r="J539" i="13" s="1"/>
  <c r="J540" i="13" s="1"/>
  <c r="J541" i="13" s="1"/>
  <c r="J542" i="13" s="1"/>
  <c r="J543" i="13" s="1"/>
  <c r="J544" i="13" s="1"/>
  <c r="J545" i="13" s="1"/>
  <c r="J546" i="13" s="1"/>
  <c r="J547" i="13" s="1"/>
  <c r="J548" i="13" s="1"/>
  <c r="J549" i="13" s="1"/>
  <c r="J550" i="13" s="1"/>
  <c r="J551" i="13" s="1"/>
  <c r="J552" i="13" s="1"/>
  <c r="J553" i="13" s="1"/>
  <c r="J554" i="13" s="1"/>
  <c r="J555" i="13" s="1"/>
  <c r="J556" i="13" s="1"/>
  <c r="J557" i="13" s="1"/>
  <c r="J558" i="13" s="1"/>
  <c r="J559" i="13" s="1"/>
  <c r="J560" i="13" s="1"/>
  <c r="J561" i="13" s="1"/>
  <c r="J562" i="13" s="1"/>
  <c r="J563" i="13" s="1"/>
  <c r="J564" i="13" s="1"/>
  <c r="J565" i="13" s="1"/>
  <c r="J566" i="13" s="1"/>
  <c r="J567" i="13" s="1"/>
  <c r="J568" i="13" s="1"/>
  <c r="J569" i="13" s="1"/>
  <c r="J570" i="13" s="1"/>
  <c r="J571" i="13" s="1"/>
  <c r="J572" i="13" s="1"/>
  <c r="J573" i="13" s="1"/>
  <c r="J574" i="13" s="1"/>
  <c r="J575" i="13" s="1"/>
  <c r="J576" i="13" s="1"/>
  <c r="J577" i="13" s="1"/>
  <c r="AF7" i="12" l="1"/>
  <c r="J21" i="13"/>
  <c r="J22" i="13" s="1"/>
  <c r="J23" i="13" s="1"/>
  <c r="AF6" i="12"/>
  <c r="AG6" i="12"/>
  <c r="AF9" i="12"/>
  <c r="AG30" i="12"/>
  <c r="J148" i="13"/>
  <c r="AF28" i="12" s="1"/>
  <c r="AH28" i="12" s="1"/>
  <c r="J18" i="13"/>
  <c r="J8" i="13"/>
  <c r="AF4" i="12" s="1"/>
  <c r="AH4" i="12" s="1"/>
  <c r="AF34" i="12"/>
  <c r="AG32" i="12"/>
  <c r="AG28" i="12"/>
  <c r="AG8" i="12"/>
  <c r="AG4" i="12"/>
  <c r="AF3" i="12"/>
  <c r="AF32" i="12"/>
  <c r="AG35" i="12"/>
  <c r="AG31" i="12"/>
  <c r="AG7" i="12"/>
  <c r="AH7" i="12" s="1"/>
  <c r="J132" i="13"/>
  <c r="J114" i="13"/>
  <c r="AF31" i="12" s="1"/>
  <c r="AH31" i="12" s="1"/>
  <c r="AF35" i="12"/>
  <c r="AH35" i="12" s="1"/>
  <c r="AH32" i="12"/>
  <c r="AH30" i="12"/>
  <c r="AH6" i="12"/>
  <c r="AH33" i="12"/>
  <c r="AH34" i="12"/>
  <c r="AH29" i="12"/>
  <c r="J24" i="13" l="1"/>
  <c r="AG9" i="12"/>
  <c r="AH9" i="12" s="1"/>
  <c r="AG3" i="12"/>
  <c r="AH3" i="12" s="1"/>
  <c r="AF8" i="12"/>
  <c r="AH8" i="12" s="1"/>
  <c r="P18" i="12"/>
  <c r="M3" i="12"/>
  <c r="M27" i="12"/>
  <c r="M4" i="12"/>
  <c r="M5" i="12"/>
  <c r="M6" i="12"/>
  <c r="M7" i="12"/>
  <c r="M8" i="12"/>
  <c r="Y6" i="12" s="1"/>
  <c r="M9" i="12"/>
  <c r="M10" i="12"/>
  <c r="M11" i="12"/>
  <c r="M12" i="12"/>
  <c r="M13" i="12"/>
  <c r="M14" i="12"/>
  <c r="M15" i="12"/>
  <c r="Y7" i="12" s="1"/>
  <c r="P56" i="12" s="1"/>
  <c r="M16" i="12"/>
  <c r="M17" i="12"/>
  <c r="M18" i="12"/>
  <c r="M19" i="12"/>
  <c r="M20" i="12"/>
  <c r="M21" i="12"/>
  <c r="M22" i="12"/>
  <c r="M23" i="12"/>
  <c r="M24" i="12"/>
  <c r="M25" i="12"/>
  <c r="M28" i="12"/>
  <c r="M30" i="12"/>
  <c r="M32" i="12"/>
  <c r="M33" i="12"/>
  <c r="M34" i="12"/>
  <c r="M35" i="12"/>
  <c r="M36" i="12"/>
  <c r="M37" i="12"/>
  <c r="M38" i="12"/>
  <c r="M39" i="12"/>
  <c r="M40" i="12"/>
  <c r="M41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Q4" i="12" s="1"/>
  <c r="U4" i="12" s="1"/>
  <c r="I17" i="12"/>
  <c r="I18" i="12"/>
  <c r="I19" i="12"/>
  <c r="I20" i="12"/>
  <c r="I21" i="12"/>
  <c r="I22" i="12"/>
  <c r="I23" i="12"/>
  <c r="I24" i="12"/>
  <c r="Q7" i="12" s="1"/>
  <c r="U7" i="12" s="1"/>
  <c r="I25" i="12"/>
  <c r="Q8" i="12" s="1"/>
  <c r="I26" i="12"/>
  <c r="I27" i="12"/>
  <c r="Q10" i="12" s="1"/>
  <c r="I28" i="12"/>
  <c r="Q9" i="12" s="1"/>
  <c r="I29" i="12"/>
  <c r="I30" i="12"/>
  <c r="Q16" i="12" s="1"/>
  <c r="I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2" i="12"/>
  <c r="F33" i="12"/>
  <c r="F34" i="12"/>
  <c r="F35" i="12"/>
  <c r="F36" i="12"/>
  <c r="F37" i="12"/>
  <c r="F38" i="12"/>
  <c r="F39" i="12"/>
  <c r="F40" i="12"/>
  <c r="F41" i="12"/>
  <c r="P10" i="12" s="1"/>
  <c r="T10" i="12" s="1"/>
  <c r="F42" i="12"/>
  <c r="F43" i="12"/>
  <c r="F44" i="12"/>
  <c r="F45" i="12"/>
  <c r="F46" i="12"/>
  <c r="F47" i="12"/>
  <c r="F48" i="12"/>
  <c r="F49" i="12"/>
  <c r="F50" i="12"/>
  <c r="F51" i="12"/>
  <c r="F52" i="12"/>
  <c r="F54" i="12"/>
  <c r="F55" i="12"/>
  <c r="F56" i="12"/>
  <c r="F57" i="12"/>
  <c r="F58" i="12"/>
  <c r="F59" i="12"/>
  <c r="F60" i="12"/>
  <c r="F61" i="12"/>
  <c r="F62" i="12"/>
  <c r="F3" i="12"/>
  <c r="C4" i="12"/>
  <c r="C5" i="12"/>
  <c r="P13" i="12" s="1"/>
  <c r="T13" i="12" s="1"/>
  <c r="C6" i="12"/>
  <c r="C7" i="12"/>
  <c r="C8" i="12"/>
  <c r="C9" i="12"/>
  <c r="C10" i="12"/>
  <c r="C11" i="12"/>
  <c r="P6" i="12" s="1"/>
  <c r="C12" i="12"/>
  <c r="P5" i="12" s="1"/>
  <c r="C13" i="12"/>
  <c r="P8" i="12" s="1"/>
  <c r="T8" i="12" s="1"/>
  <c r="C14" i="12"/>
  <c r="C15" i="12"/>
  <c r="C16" i="12"/>
  <c r="C17" i="12"/>
  <c r="C18" i="12"/>
  <c r="C19" i="12"/>
  <c r="AB39" i="12" s="1"/>
  <c r="C20" i="12"/>
  <c r="P12" i="12" s="1"/>
  <c r="T12" i="12" s="1"/>
  <c r="C21" i="12"/>
  <c r="C22" i="12"/>
  <c r="C23" i="12"/>
  <c r="C24" i="12"/>
  <c r="C25" i="12"/>
  <c r="C26" i="12"/>
  <c r="C27" i="12"/>
  <c r="C28" i="12"/>
  <c r="C29" i="12"/>
  <c r="C30" i="12"/>
  <c r="C3" i="12"/>
  <c r="Y9" i="12" s="1"/>
  <c r="H18" i="1"/>
  <c r="J25" i="13" l="1"/>
  <c r="AG10" i="12"/>
  <c r="AF10" i="12"/>
  <c r="AH10" i="12" s="1"/>
  <c r="AI10" i="12" s="1"/>
  <c r="Y3" i="12"/>
  <c r="Y4" i="12"/>
  <c r="Y5" i="12"/>
  <c r="AI28" i="12"/>
  <c r="AC19" i="12"/>
  <c r="AC27" i="12"/>
  <c r="AC11" i="12"/>
  <c r="AC21" i="12"/>
  <c r="AC12" i="12"/>
  <c r="AC24" i="12"/>
  <c r="AC31" i="12"/>
  <c r="AC36" i="12"/>
  <c r="P55" i="12" s="1"/>
  <c r="AC4" i="12"/>
  <c r="AC7" i="12"/>
  <c r="AC23" i="12"/>
  <c r="AC35" i="12"/>
  <c r="AC34" i="12"/>
  <c r="AC37" i="12"/>
  <c r="AC15" i="12"/>
  <c r="AC29" i="12"/>
  <c r="P48" i="12" s="1"/>
  <c r="AC26" i="12"/>
  <c r="AC25" i="12"/>
  <c r="AC3" i="12"/>
  <c r="AC13" i="12"/>
  <c r="AC18" i="12"/>
  <c r="AC17" i="12"/>
  <c r="AC30" i="12"/>
  <c r="AC5" i="12"/>
  <c r="AC10" i="12"/>
  <c r="AC32" i="12"/>
  <c r="P51" i="12" s="1"/>
  <c r="AC22" i="12"/>
  <c r="AC28" i="12"/>
  <c r="P47" i="12" s="1"/>
  <c r="AC33" i="12"/>
  <c r="AC16" i="12"/>
  <c r="AC14" i="12"/>
  <c r="AC20" i="12"/>
  <c r="AC9" i="12"/>
  <c r="P28" i="12" s="1"/>
  <c r="AC8" i="12"/>
  <c r="P27" i="12" s="1"/>
  <c r="AC6" i="12"/>
  <c r="P25" i="12" s="1"/>
  <c r="AI34" i="12"/>
  <c r="AI29" i="12"/>
  <c r="AI35" i="12"/>
  <c r="AI4" i="12"/>
  <c r="AI8" i="12"/>
  <c r="AI30" i="12"/>
  <c r="AI6" i="12"/>
  <c r="AI9" i="12"/>
  <c r="AI31" i="12"/>
  <c r="AI32" i="12"/>
  <c r="AI33" i="12"/>
  <c r="AI7" i="12"/>
  <c r="AI3" i="12"/>
  <c r="P7" i="12"/>
  <c r="T7" i="12" s="1"/>
  <c r="N18" i="12"/>
  <c r="N19" i="12" s="1"/>
  <c r="N4" i="12"/>
  <c r="P9" i="12"/>
  <c r="T9" i="12" s="1"/>
  <c r="T5" i="12"/>
  <c r="P11" i="12"/>
  <c r="T11" i="12" s="1"/>
  <c r="Q6" i="12"/>
  <c r="Q5" i="12"/>
  <c r="P14" i="12"/>
  <c r="T14" i="12" s="1"/>
  <c r="P4" i="12"/>
  <c r="T4" i="12" s="1"/>
  <c r="P29" i="12" l="1"/>
  <c r="P52" i="12"/>
  <c r="P53" i="12"/>
  <c r="P22" i="12"/>
  <c r="P54" i="12"/>
  <c r="P26" i="12"/>
  <c r="P49" i="12"/>
  <c r="P50" i="12"/>
  <c r="J26" i="13"/>
  <c r="AG11" i="12"/>
  <c r="AF11" i="12"/>
  <c r="P23" i="12"/>
  <c r="U5" i="12"/>
  <c r="Y8" i="12"/>
  <c r="Y11" i="12" s="1"/>
  <c r="Q15" i="12"/>
  <c r="U15" i="12" s="1"/>
  <c r="P15" i="12"/>
  <c r="AH11" i="12" l="1"/>
  <c r="AI11" i="12" s="1"/>
  <c r="P30" i="12" s="1"/>
  <c r="J27" i="13"/>
  <c r="AF12" i="12"/>
  <c r="AH12" i="12" s="1"/>
  <c r="AI12" i="12" s="1"/>
  <c r="P31" i="12" s="1"/>
  <c r="AG12" i="12"/>
  <c r="C62" i="1"/>
  <c r="C57" i="1"/>
  <c r="C56" i="1"/>
  <c r="D53" i="1"/>
  <c r="D52" i="1"/>
  <c r="C47" i="1"/>
  <c r="B62" i="1"/>
  <c r="J28" i="13" l="1"/>
  <c r="AG13" i="12"/>
  <c r="AF13" i="12"/>
  <c r="N20" i="2"/>
  <c r="AH13" i="12" l="1"/>
  <c r="AI13" i="12" s="1"/>
  <c r="P32" i="12" s="1"/>
  <c r="J29" i="13"/>
  <c r="AF14" i="12"/>
  <c r="AH14" i="12" s="1"/>
  <c r="AI14" i="12" s="1"/>
  <c r="P33" i="12" s="1"/>
  <c r="AG14" i="12"/>
  <c r="C19" i="1"/>
  <c r="J30" i="13" l="1"/>
  <c r="AF15" i="12"/>
  <c r="AH15" i="12" s="1"/>
  <c r="AI15" i="12" s="1"/>
  <c r="P34" i="12" s="1"/>
  <c r="AG15" i="12"/>
  <c r="D12" i="3"/>
  <c r="D11" i="3"/>
  <c r="J31" i="13" l="1"/>
  <c r="AF16" i="12"/>
  <c r="AH16" i="12" s="1"/>
  <c r="AI16" i="12" s="1"/>
  <c r="P35" i="12" s="1"/>
  <c r="AG16" i="12"/>
  <c r="C4" i="1"/>
  <c r="J32" i="13" l="1"/>
  <c r="AF17" i="12"/>
  <c r="AH17" i="12" s="1"/>
  <c r="AI17" i="12" s="1"/>
  <c r="P36" i="12" s="1"/>
  <c r="AG17" i="12"/>
  <c r="D8" i="3"/>
  <c r="D9" i="3"/>
  <c r="D10" i="3"/>
  <c r="J21" i="2"/>
  <c r="J19" i="2"/>
  <c r="C23" i="1"/>
  <c r="M21" i="2"/>
  <c r="C8" i="1"/>
  <c r="F14" i="1"/>
  <c r="H14" i="1" s="1"/>
  <c r="J24" i="2"/>
  <c r="L21" i="2"/>
  <c r="N19" i="2"/>
  <c r="L19" i="2"/>
  <c r="D8" i="4" s="1"/>
  <c r="M19" i="2"/>
  <c r="B9" i="2"/>
  <c r="C7" i="1"/>
  <c r="C3" i="1"/>
  <c r="G22" i="1"/>
  <c r="J20" i="2"/>
  <c r="J33" i="13" l="1"/>
  <c r="AG18" i="12"/>
  <c r="AF18" i="12"/>
  <c r="D14" i="3"/>
  <c r="L17" i="2"/>
  <c r="J22" i="2"/>
  <c r="M20" i="2"/>
  <c r="L20" i="2"/>
  <c r="B14" i="2"/>
  <c r="C26" i="1"/>
  <c r="F16" i="1"/>
  <c r="H16" i="1" s="1"/>
  <c r="F17" i="1"/>
  <c r="H17" i="1" s="1"/>
  <c r="L24" i="2"/>
  <c r="L22" i="2"/>
  <c r="C30" i="1"/>
  <c r="C29" i="1"/>
  <c r="B10" i="2"/>
  <c r="AH18" i="12" l="1"/>
  <c r="AI18" i="12" s="1"/>
  <c r="P37" i="12" s="1"/>
  <c r="J34" i="13"/>
  <c r="AF19" i="12"/>
  <c r="AG19" i="12"/>
  <c r="O19" i="2"/>
  <c r="M17" i="2"/>
  <c r="AH19" i="12" l="1"/>
  <c r="AI19" i="12" s="1"/>
  <c r="P38" i="12" s="1"/>
  <c r="J35" i="13"/>
  <c r="AF20" i="12"/>
  <c r="AG20" i="12"/>
  <c r="O21" i="2"/>
  <c r="O22" i="2"/>
  <c r="O20" i="2"/>
  <c r="G11" i="1"/>
  <c r="J36" i="13" l="1"/>
  <c r="AG21" i="12"/>
  <c r="AF21" i="12"/>
  <c r="AH20" i="12"/>
  <c r="AI20" i="12" s="1"/>
  <c r="P39" i="12" s="1"/>
  <c r="H18" i="4"/>
  <c r="H19" i="4"/>
  <c r="H20" i="4"/>
  <c r="G18" i="4"/>
  <c r="G20" i="4"/>
  <c r="G19" i="4"/>
  <c r="AH21" i="12" l="1"/>
  <c r="AI21" i="12" s="1"/>
  <c r="P40" i="12" s="1"/>
  <c r="J37" i="13"/>
  <c r="AG22" i="12"/>
  <c r="AF22" i="12"/>
  <c r="AH22" i="12" s="1"/>
  <c r="AI22" i="12" s="1"/>
  <c r="P41" i="12" s="1"/>
  <c r="C5" i="1"/>
  <c r="C9" i="1"/>
  <c r="C10" i="1"/>
  <c r="C11" i="1"/>
  <c r="C52" i="1" s="1"/>
  <c r="C12" i="1"/>
  <c r="C53" i="1" s="1"/>
  <c r="C13" i="1"/>
  <c r="F8" i="1" s="1"/>
  <c r="H8" i="1" s="1"/>
  <c r="C14" i="1"/>
  <c r="F7" i="1" s="1"/>
  <c r="H7" i="1" s="1"/>
  <c r="C15" i="1"/>
  <c r="C16" i="1"/>
  <c r="C17" i="1"/>
  <c r="C18" i="1"/>
  <c r="C20" i="1"/>
  <c r="F9" i="1" s="1"/>
  <c r="H9" i="1" s="1"/>
  <c r="C21" i="1"/>
  <c r="C22" i="1"/>
  <c r="C24" i="1"/>
  <c r="C25" i="1"/>
  <c r="C27" i="1"/>
  <c r="C28" i="1"/>
  <c r="J38" i="13" l="1"/>
  <c r="AF23" i="12"/>
  <c r="AH23" i="12" s="1"/>
  <c r="AI23" i="12" s="1"/>
  <c r="P42" i="12" s="1"/>
  <c r="AG23" i="12"/>
  <c r="F10" i="1"/>
  <c r="F5" i="1"/>
  <c r="E53" i="1"/>
  <c r="F6" i="1"/>
  <c r="H6" i="1" s="1"/>
  <c r="I21" i="2"/>
  <c r="G21" i="2" s="1"/>
  <c r="I22" i="2"/>
  <c r="K22" i="2" s="1"/>
  <c r="E12" i="4"/>
  <c r="F11" i="4"/>
  <c r="E11" i="4"/>
  <c r="F10" i="4"/>
  <c r="D12" i="4"/>
  <c r="D11" i="4"/>
  <c r="E10" i="4"/>
  <c r="D10" i="4"/>
  <c r="E8" i="4"/>
  <c r="F9" i="4"/>
  <c r="E9" i="4"/>
  <c r="D9" i="4"/>
  <c r="F8" i="4"/>
  <c r="B28" i="2"/>
  <c r="F4" i="3"/>
  <c r="H14" i="4"/>
  <c r="G14" i="4"/>
  <c r="F5" i="3"/>
  <c r="F6" i="3"/>
  <c r="F7" i="3"/>
  <c r="F8" i="3"/>
  <c r="J39" i="13" l="1"/>
  <c r="AG24" i="12"/>
  <c r="AF24" i="12"/>
  <c r="I24" i="2"/>
  <c r="K24" i="2" s="1"/>
  <c r="H10" i="1"/>
  <c r="I19" i="2"/>
  <c r="H5" i="1"/>
  <c r="F11" i="1"/>
  <c r="D18" i="4"/>
  <c r="I20" i="2"/>
  <c r="K20" i="2" s="1"/>
  <c r="D19" i="4"/>
  <c r="K21" i="2"/>
  <c r="G22" i="2"/>
  <c r="E13" i="4"/>
  <c r="D13" i="4"/>
  <c r="I23" i="2"/>
  <c r="J23" i="2" s="1"/>
  <c r="O23" i="2" s="1"/>
  <c r="E19" i="4"/>
  <c r="D20" i="4"/>
  <c r="E20" i="4"/>
  <c r="F9" i="3"/>
  <c r="F19" i="1"/>
  <c r="H19" i="1" s="1"/>
  <c r="AH24" i="12" l="1"/>
  <c r="AI24" i="12" s="1"/>
  <c r="P43" i="12" s="1"/>
  <c r="J40" i="13"/>
  <c r="AG25" i="12"/>
  <c r="AF25" i="12"/>
  <c r="AH25" i="12" s="1"/>
  <c r="AI25" i="12" s="1"/>
  <c r="P44" i="12" s="1"/>
  <c r="G53" i="1"/>
  <c r="F15" i="1" s="1"/>
  <c r="H15" i="1" s="1"/>
  <c r="G20" i="2"/>
  <c r="I25" i="2"/>
  <c r="K19" i="2"/>
  <c r="G19" i="2"/>
  <c r="D14" i="4"/>
  <c r="G23" i="2"/>
  <c r="N24" i="2"/>
  <c r="G24" i="2" s="1"/>
  <c r="E18" i="4"/>
  <c r="J41" i="13" l="1"/>
  <c r="AF26" i="12"/>
  <c r="AH26" i="12" s="1"/>
  <c r="AI26" i="12" s="1"/>
  <c r="P45" i="12" s="1"/>
  <c r="AG26" i="12"/>
  <c r="F20" i="1"/>
  <c r="F22" i="1"/>
  <c r="J26" i="2"/>
  <c r="K23" i="2"/>
  <c r="K25" i="2" s="1"/>
  <c r="O24" i="2"/>
  <c r="J25" i="2"/>
  <c r="E14" i="4"/>
  <c r="F10" i="3"/>
  <c r="B4" i="2"/>
  <c r="AF27" i="12" l="1"/>
  <c r="AH27" i="12" s="1"/>
  <c r="AI27" i="12" s="1"/>
  <c r="P46" i="12" s="1"/>
  <c r="AG27" i="12"/>
  <c r="AF5" i="12"/>
  <c r="AG5" i="12"/>
  <c r="J27" i="2"/>
  <c r="AH5" i="12" l="1"/>
  <c r="B40" i="2"/>
  <c r="B42" i="2"/>
  <c r="B41" i="2"/>
  <c r="B43" i="2"/>
  <c r="B26" i="2"/>
  <c r="B25" i="2"/>
  <c r="B24" i="2"/>
  <c r="B36" i="2"/>
  <c r="B38" i="2"/>
  <c r="B37" i="2"/>
  <c r="B21" i="2"/>
  <c r="B23" i="2"/>
  <c r="B22" i="2"/>
  <c r="B19" i="2"/>
  <c r="B17" i="2"/>
  <c r="B15" i="2"/>
  <c r="B33" i="2"/>
  <c r="B34" i="2"/>
  <c r="B5" i="2"/>
  <c r="B7" i="2"/>
  <c r="B6" i="2"/>
  <c r="B31" i="2"/>
  <c r="B30" i="2"/>
  <c r="B29" i="2"/>
  <c r="B20" i="2"/>
  <c r="B18" i="2"/>
  <c r="B16" i="2"/>
  <c r="B12" i="2"/>
  <c r="B11" i="2"/>
  <c r="B13" i="2"/>
  <c r="B8" i="2"/>
  <c r="F12" i="4"/>
  <c r="AH36" i="12" l="1"/>
  <c r="AI36" i="12" s="1"/>
  <c r="AI5" i="12"/>
  <c r="P24" i="12" s="1"/>
  <c r="P57" i="12" s="1"/>
</calcChain>
</file>

<file path=xl/sharedStrings.xml><?xml version="1.0" encoding="utf-8"?>
<sst xmlns="http://schemas.openxmlformats.org/spreadsheetml/2006/main" count="5441" uniqueCount="830">
  <si>
    <t>%Fondo</t>
  </si>
  <si>
    <t>INVERSIÓN NACIONAL TOTAL</t>
  </si>
  <si>
    <t>     RENTA VARIABLE</t>
  </si>
  <si>
    <t>       Acciones</t>
  </si>
  <si>
    <t>     RENTA FIJA</t>
  </si>
  <si>
    <t>       Instrumentos Banco Central</t>
  </si>
  <si>
    <t>       Instrumentos Tesorería</t>
  </si>
  <si>
    <t>       Bonos de Reconocimiento y MINVU</t>
  </si>
  <si>
    <t>       Bonos Bancarios</t>
  </si>
  <si>
    <t>       Letras Hipotecarias</t>
  </si>
  <si>
    <t>       Depósitos a Plazo</t>
  </si>
  <si>
    <t>       Fondos Mutuos y de Inversión</t>
  </si>
  <si>
    <t>       DERIVADOS</t>
  </si>
  <si>
    <t>INVERSIÓN EXTRANJERA TOTAL</t>
  </si>
  <si>
    <t>       Fondos Mutuos</t>
  </si>
  <si>
    <t>       Otros</t>
  </si>
  <si>
    <t>TOTAL ACTIVOS</t>
  </si>
  <si>
    <t>SUBTOTAL RENTA VARIABLE</t>
  </si>
  <si>
    <t>SUBTOTAL RENTA FIJA</t>
  </si>
  <si>
    <t>SUBTOTAL DERIVADOS</t>
  </si>
  <si>
    <t>SUBTOTAL OTROS</t>
  </si>
  <si>
    <t>Central-Tesoreria-Estatal</t>
  </si>
  <si>
    <t>Bono Bancario y Corporativo</t>
  </si>
  <si>
    <t>Dep. A Plazo</t>
  </si>
  <si>
    <t>Letras Hip</t>
  </si>
  <si>
    <t>Acciones</t>
  </si>
  <si>
    <t>Inv. Extranjero</t>
  </si>
  <si>
    <t>INSTITUCIONES</t>
  </si>
  <si>
    <t>E</t>
  </si>
  <si>
    <t>       BCP</t>
  </si>
  <si>
    <t>       BCU</t>
  </si>
  <si>
    <t>       CERO</t>
  </si>
  <si>
    <t>       PRC</t>
  </si>
  <si>
    <t>       Total Banco Central de Chile</t>
  </si>
  <si>
    <t>       BTP</t>
  </si>
  <si>
    <t>       BTU</t>
  </si>
  <si>
    <t>       Total Tesorería General</t>
  </si>
  <si>
    <t>       BRP</t>
  </si>
  <si>
    <t>       BVL</t>
  </si>
  <si>
    <t>       Total I.N.P. u otros</t>
  </si>
  <si>
    <t>TOTAL INSTITUCIONES ESTATALES</t>
  </si>
  <si>
    <t>       BCS</t>
  </si>
  <si>
    <t>       DEB</t>
  </si>
  <si>
    <t>TOTAL EMPRESAS</t>
  </si>
  <si>
    <t>       BEF</t>
  </si>
  <si>
    <t>       BSF</t>
  </si>
  <si>
    <t>       DPF</t>
  </si>
  <si>
    <t>       LHF</t>
  </si>
  <si>
    <t>TOTAL INSTITUCIONES FINANCIERAS</t>
  </si>
  <si>
    <t>       BEE</t>
  </si>
  <si>
    <t>       EBC</t>
  </si>
  <si>
    <t>       TBI</t>
  </si>
  <si>
    <t>TOTAL EXTRANJERO</t>
  </si>
  <si>
    <t>Unidad indexada</t>
  </si>
  <si>
    <t>% Invertido</t>
  </si>
  <si>
    <r>
      <t>  </t>
    </r>
    <r>
      <rPr>
        <b/>
        <sz val="8"/>
        <color rgb="FF7C7B7B"/>
        <rFont val="Trebuchet MS"/>
        <family val="2"/>
      </rPr>
      <t>Renta Fija Nacional</t>
    </r>
  </si>
  <si>
    <t>NO</t>
  </si>
  <si>
    <t>US$</t>
  </si>
  <si>
    <t>UF</t>
  </si>
  <si>
    <t>IVP</t>
  </si>
  <si>
    <t>BRL</t>
  </si>
  <si>
    <t>MXN</t>
  </si>
  <si>
    <t>GBP</t>
  </si>
  <si>
    <t>BCP</t>
  </si>
  <si>
    <t>Bonos del Banco Central de Chile expresados en pesos</t>
  </si>
  <si>
    <t>BCS</t>
  </si>
  <si>
    <t>Bonos respaldados por títulos de créditos transferibles</t>
  </si>
  <si>
    <t>BCU</t>
  </si>
  <si>
    <t>Bonos del banco Central de Chile expresados en UF</t>
  </si>
  <si>
    <t>BEE</t>
  </si>
  <si>
    <t>Bonos emitidos por empresas extranjeras</t>
  </si>
  <si>
    <t>BEF</t>
  </si>
  <si>
    <t>Bonos Bancarios emitidos por Instituciones Financieras</t>
  </si>
  <si>
    <t>BRP</t>
  </si>
  <si>
    <t>Bonos de reconocimiento Previsionales emitidos por el INP u otras Instituciones de Previsión</t>
  </si>
  <si>
    <t>BSF</t>
  </si>
  <si>
    <t>Bonos subordinados emitidos por Instituciones Financieras</t>
  </si>
  <si>
    <t>BTP</t>
  </si>
  <si>
    <t>Bonos de la Tesorería General de la República, en pesos</t>
  </si>
  <si>
    <t>BTU</t>
  </si>
  <si>
    <t>Bonos de la Tesorería General de la República en UF</t>
  </si>
  <si>
    <t>BVL</t>
  </si>
  <si>
    <t>Bonos Vivienda leasing</t>
  </si>
  <si>
    <t>CERO</t>
  </si>
  <si>
    <t>Cupones de emisión reajustables opcionales en dólares</t>
  </si>
  <si>
    <t>DEB</t>
  </si>
  <si>
    <t>Bonos de Empresas Públicas y Privadas</t>
  </si>
  <si>
    <t>DPF</t>
  </si>
  <si>
    <t>Depósitos a plazo y pagarés emitidos por Instituciones Financieras</t>
  </si>
  <si>
    <t>EBC</t>
  </si>
  <si>
    <t>Títulos de crédito emitidos por Estados extranjeros y Bancos Centrales extranjeros</t>
  </si>
  <si>
    <t>ECO</t>
  </si>
  <si>
    <t>Efectos de Comercio</t>
  </si>
  <si>
    <t>LHF</t>
  </si>
  <si>
    <t>letras de crédito emitidas por Instituciones Financieras</t>
  </si>
  <si>
    <t>PDC</t>
  </si>
  <si>
    <t>Pagarés descontables del Banco Central</t>
  </si>
  <si>
    <t>PRC</t>
  </si>
  <si>
    <t>Pagarés reajustables con pago de cupones</t>
  </si>
  <si>
    <t>TBE</t>
  </si>
  <si>
    <t>Títulos de crédito de renta fija emitidos por entidades bancarias extranjeras</t>
  </si>
  <si>
    <t>TBI</t>
  </si>
  <si>
    <t>Títulos de crédito emitidos por entidades bancarias internacionales</t>
  </si>
  <si>
    <t>Intermediación Financiera Nacional</t>
  </si>
  <si>
    <t>CLP</t>
  </si>
  <si>
    <t>otros</t>
  </si>
  <si>
    <t>       Bonos de Empresas y Efectos de Comercio</t>
  </si>
  <si>
    <t>Categorias</t>
  </si>
  <si>
    <t>FONDO TIPO E</t>
  </si>
  <si>
    <t>%</t>
  </si>
  <si>
    <t>Categoria AAA</t>
  </si>
  <si>
    <t>Categoria AA</t>
  </si>
  <si>
    <t>Categoria A</t>
  </si>
  <si>
    <t>Categoria BBB</t>
  </si>
  <si>
    <t>Dur Cartera</t>
  </si>
  <si>
    <t>AFP's</t>
  </si>
  <si>
    <t>E+</t>
  </si>
  <si>
    <t>DAP</t>
  </si>
  <si>
    <t>Cuadro N°3</t>
  </si>
  <si>
    <t>       PDC</t>
  </si>
  <si>
    <r>
      <rPr>
        <b/>
        <sz val="8"/>
        <color rgb="FF7C7B7B"/>
        <rFont val="Trebuchet MS"/>
        <family val="2"/>
      </rPr>
      <t xml:space="preserve">CUADRO Nº 2: </t>
    </r>
    <r>
      <rPr>
        <sz val="8"/>
        <color rgb="FF7C7B7B"/>
        <rFont val="Trebuchet MS"/>
        <family val="2"/>
      </rPr>
      <t>CARTERA AGREGADA DE LOS FONDOS DE PENSIONES TIPO E POR AFP</t>
    </r>
  </si>
  <si>
    <t>CUADRO Nº 7: PLAZO PROMEDIO DE LAS INVERSIONES DE LOS FONDOS DE PENSIONES POR TIPO DE FONDO E INSTRUMENTO (1)</t>
  </si>
  <si>
    <t>CUADRO Nº 5: DIVERSIFICACION DE LAS INVERSIONES DE LOS FONDOS DE PENSIONES POR TIPO DE FONDO Y CATEGORIA DE RIESGO PARA INSTRUMENTOS DE DEUDA DE LARGO PLAZO</t>
  </si>
  <si>
    <t>Categoria C</t>
  </si>
  <si>
    <r>
      <rPr>
        <b/>
        <sz val="8"/>
        <color rgb="FF7C7B7B"/>
        <rFont val="Trebuchet MS"/>
        <family val="2"/>
      </rPr>
      <t xml:space="preserve">CUADRO Nº 4: </t>
    </r>
    <r>
      <rPr>
        <sz val="8"/>
        <color rgb="FF7C7B7B"/>
        <rFont val="Trebuchet MS"/>
        <family val="2"/>
      </rPr>
      <t>TASAS DE VALORACIÓN POR TIPO DE INSTRUMENTO FINANCIERO DE LOS FONDOS DE PENSIONES POR TIPO DE FONDO</t>
    </r>
  </si>
  <si>
    <t>Centrales</t>
  </si>
  <si>
    <t>       BEC</t>
  </si>
  <si>
    <t>BEC</t>
  </si>
  <si>
    <t>Bonos del Estado de Chile</t>
  </si>
  <si>
    <t>Categoria BB</t>
  </si>
  <si>
    <t xml:space="preserve"> Junio</t>
  </si>
  <si>
    <t>CAPITAL</t>
  </si>
  <si>
    <t>CUPRUM</t>
  </si>
  <si>
    <t>HABITAT</t>
  </si>
  <si>
    <t>MODELO</t>
  </si>
  <si>
    <t>PLANVITAL</t>
  </si>
  <si>
    <t>PROVIDA</t>
  </si>
  <si>
    <t>TOTAL</t>
  </si>
  <si>
    <t>MMUS$</t>
  </si>
  <si>
    <t>-</t>
  </si>
  <si>
    <t>A</t>
  </si>
  <si>
    <t>TOTAL GENERAL</t>
  </si>
  <si>
    <t>Tipo de instrumento</t>
  </si>
  <si>
    <t>Unidad de Indexación</t>
  </si>
  <si>
    <t>Tasa de Interes</t>
  </si>
  <si>
    <t>IPC</t>
  </si>
  <si>
    <r>
      <t>  </t>
    </r>
    <r>
      <rPr>
        <b/>
        <sz val="8"/>
        <color rgb="FF7C7B7B"/>
        <rFont val="Trebuchet MS"/>
        <family val="2"/>
      </rPr>
      <t>Intermediación Financiera Nacional</t>
    </r>
  </si>
  <si>
    <r>
      <t>  </t>
    </r>
    <r>
      <rPr>
        <b/>
        <sz val="8"/>
        <color rgb="FF7C7B7B"/>
        <rFont val="Trebuchet MS"/>
        <family val="2"/>
      </rPr>
      <t>EXTS</t>
    </r>
  </si>
  <si>
    <t>Renta Fija Nacional</t>
  </si>
  <si>
    <t>B</t>
  </si>
  <si>
    <t>C</t>
  </si>
  <si>
    <t>D</t>
  </si>
  <si>
    <t>       BHM</t>
  </si>
  <si>
    <t>BHM</t>
  </si>
  <si>
    <t>Bono hipotecario emitido por Inst. financieras</t>
  </si>
  <si>
    <t>Categoria AAA (1)</t>
  </si>
  <si>
    <t>       Nacional</t>
  </si>
  <si>
    <t>       Extranjero</t>
  </si>
  <si>
    <t>Categoria B</t>
  </si>
  <si>
    <t>Categoria D</t>
  </si>
  <si>
    <t>Categoria E (2)</t>
  </si>
  <si>
    <t>Sep</t>
  </si>
  <si>
    <t>Oct</t>
  </si>
  <si>
    <t>AUD</t>
  </si>
  <si>
    <t>Cop</t>
  </si>
  <si>
    <t>COP</t>
  </si>
  <si>
    <t>EUR</t>
  </si>
  <si>
    <t>       BCA</t>
  </si>
  <si>
    <t>       Fondos de Inversión, FICE y Otros</t>
  </si>
  <si>
    <t>       Disponible(1)</t>
  </si>
  <si>
    <t>     OTROS NACIONALES(2)</t>
  </si>
  <si>
    <t>     OTROS EXTRANJEROS(3)</t>
  </si>
  <si>
    <t>BCA</t>
  </si>
  <si>
    <t>SISTEMA</t>
  </si>
  <si>
    <t>Corresponde al plazo de los instrumentos, que se calcula de acuerdo a lo dispuesto en la Circular Nº 1.557 de esta Superintendencia.</t>
  </si>
  <si>
    <t>Bonos canjeables en Acciones</t>
  </si>
  <si>
    <t>Bonos hipotecarios emitidos por Instituciones Financieras</t>
  </si>
  <si>
    <t>MM$</t>
  </si>
  <si>
    <t>       ACC</t>
  </si>
  <si>
    <t>       SNT</t>
  </si>
  <si>
    <t>       WNM</t>
  </si>
  <si>
    <t>       ADR</t>
  </si>
  <si>
    <t>       CFID</t>
  </si>
  <si>
    <t>       CFIV</t>
  </si>
  <si>
    <t>       CFMD</t>
  </si>
  <si>
    <t>       CFMV</t>
  </si>
  <si>
    <t>       FICE</t>
  </si>
  <si>
    <t>TOTAL FONDOS MUTUOS, DE INVERSIÓN Y DE INVERSIÓN DE CAP. RIESGO</t>
  </si>
  <si>
    <t>       AEE</t>
  </si>
  <si>
    <t>       CFID(3)</t>
  </si>
  <si>
    <t>       CFIV(3)</t>
  </si>
  <si>
    <t>       CFMD(3)</t>
  </si>
  <si>
    <t>       CFMV(3)</t>
  </si>
  <si>
    <t>       CIEV</t>
  </si>
  <si>
    <t>       CMED</t>
  </si>
  <si>
    <t>       CMEV</t>
  </si>
  <si>
    <t>       ETFA</t>
  </si>
  <si>
    <t>       ETFB</t>
  </si>
  <si>
    <t>       SET</t>
  </si>
  <si>
    <t>       WEM</t>
  </si>
  <si>
    <t>       WEN</t>
  </si>
  <si>
    <t>       CC2</t>
  </si>
  <si>
    <t>       CC3</t>
  </si>
  <si>
    <t>       OTROS(4)</t>
  </si>
  <si>
    <t>TOTAL ACTIVO DISPONIBLE</t>
  </si>
  <si>
    <t>TOTAL ACTIVOS MM$</t>
  </si>
  <si>
    <t>TOTAL ACTIVOS MMUS$</t>
  </si>
  <si>
    <t>ns1:glosa</t>
  </si>
  <si>
    <t>codigo</t>
  </si>
  <si>
    <t>ns1:monto_dolares</t>
  </si>
  <si>
    <t>ns1:porcentaje</t>
  </si>
  <si>
    <t>ns1:monto_pesos</t>
  </si>
  <si>
    <t>ns1:tasa_interes</t>
  </si>
  <si>
    <t>Renta Fija Nacional:BCA</t>
  </si>
  <si>
    <t>Intermediación Financiera Nacional:DPF</t>
  </si>
  <si>
    <t>EXTS:BEE</t>
  </si>
  <si>
    <t>Total Banco Central de Chile</t>
  </si>
  <si>
    <t>Total Tesorería General</t>
  </si>
  <si>
    <t>Total I.N.P. u otros</t>
  </si>
  <si>
    <t>ns1:plazo</t>
  </si>
  <si>
    <t>ns1:monto_dolares3</t>
  </si>
  <si>
    <t>ns1:porcentaje4</t>
  </si>
  <si>
    <t>ns1:monto_pesos5</t>
  </si>
  <si>
    <t>ns1:tasa_interes6</t>
  </si>
  <si>
    <t>ns1:plazo7</t>
  </si>
  <si>
    <t>ns1:porcentaje_sobre_emisor</t>
  </si>
  <si>
    <t>ns1:porcentaje_sobre_extranjero</t>
  </si>
  <si>
    <t>ns1:unidad_indexada</t>
  </si>
  <si>
    <t>ACC</t>
  </si>
  <si>
    <t>SNT</t>
  </si>
  <si>
    <t>WNM</t>
  </si>
  <si>
    <t>ADR</t>
  </si>
  <si>
    <t>CFID</t>
  </si>
  <si>
    <t>CFIV</t>
  </si>
  <si>
    <t>CFMD</t>
  </si>
  <si>
    <t>CFMV</t>
  </si>
  <si>
    <t>FICE</t>
  </si>
  <si>
    <t>AEE</t>
  </si>
  <si>
    <t>CFID(3)</t>
  </si>
  <si>
    <t>CFIV(3)</t>
  </si>
  <si>
    <t>CFMD(3)</t>
  </si>
  <si>
    <t>CFMV(3)</t>
  </si>
  <si>
    <t>CIEV</t>
  </si>
  <si>
    <t>CMED</t>
  </si>
  <si>
    <t>CMEV</t>
  </si>
  <si>
    <t>ETFA</t>
  </si>
  <si>
    <t>ETFB</t>
  </si>
  <si>
    <t>SET</t>
  </si>
  <si>
    <t>WEM</t>
  </si>
  <si>
    <t>WEN</t>
  </si>
  <si>
    <t>CC2</t>
  </si>
  <si>
    <t>CC3</t>
  </si>
  <si>
    <t>OTROS(4)</t>
  </si>
  <si>
    <t>ns1:titulo10</t>
  </si>
  <si>
    <t>ns1:subtitulo11</t>
  </si>
  <si>
    <t>numero12</t>
  </si>
  <si>
    <t>ns1:glosa13</t>
  </si>
  <si>
    <t>ns1:numero</t>
  </si>
  <si>
    <t>ns1:dv</t>
  </si>
  <si>
    <t>ns1:nombre</t>
  </si>
  <si>
    <t>ns1:monto_dolares14</t>
  </si>
  <si>
    <t>ns1:porcentaje15</t>
  </si>
  <si>
    <t>ns1:monto_dolares16</t>
  </si>
  <si>
    <t>ns1:porcentaje17</t>
  </si>
  <si>
    <t>CUADRO Nº 2: CARTERA AGREGADA DE LOS FONDOS DE PENSIONES TIPO E POR AFP</t>
  </si>
  <si>
    <t>1</t>
  </si>
  <si>
    <t>0</t>
  </si>
  <si>
    <t>8</t>
  </si>
  <si>
    <t>3</t>
  </si>
  <si>
    <t>K</t>
  </si>
  <si>
    <t>RENTA VARIABLE</t>
  </si>
  <si>
    <t>Fondos de Inversión, FICE y  Otros</t>
  </si>
  <si>
    <t>RENTA FIJA</t>
  </si>
  <si>
    <t>Instrumentos Banco Central</t>
  </si>
  <si>
    <t>Instrumentos Tesorería</t>
  </si>
  <si>
    <t>Bonos de Reconocimiento y MINVU</t>
  </si>
  <si>
    <t>Bonos de Empresas y Efectos de Comercio</t>
  </si>
  <si>
    <t>Bonos Bancarios</t>
  </si>
  <si>
    <t>Letras Hipotecarias</t>
  </si>
  <si>
    <t>Depósitos a Plazo</t>
  </si>
  <si>
    <t>Fondos Mutuos y de Inversión</t>
  </si>
  <si>
    <t>Disponible(1)</t>
  </si>
  <si>
    <t>DERIVADOS</t>
  </si>
  <si>
    <t>OTROS NACIONALES(2)</t>
  </si>
  <si>
    <t>Fondos Mutuos</t>
  </si>
  <si>
    <t>Otros</t>
  </si>
  <si>
    <t>OTROS EXTRANJEROS(3)</t>
  </si>
  <si>
    <t>Acciones Locales</t>
  </si>
  <si>
    <t>Extranjero / Renta Variable</t>
  </si>
  <si>
    <t>Total</t>
  </si>
  <si>
    <t>Corresponde a Cuentas Corrientes Tipo 2</t>
  </si>
  <si>
    <t>Incluye Banco Recaudaciones, Banco retiros de ahorro, Banco pago de beneficios, Banco pago de ahorro previsional voluntario, Valores por depositar y en tránsito Nacinales y Cargos en Cuentas Bancarias, además de Inversión en Opciones de Suscripción de Acciones y Cuotas de Fondos de Inversión Nacioales.</t>
  </si>
  <si>
    <t>Valores por depositar y en tránsito Extranjeros</t>
  </si>
  <si>
    <t>Porcentaje respecto al total de activos</t>
  </si>
  <si>
    <t>Según del valor del dólar observado al último día hábil del mes</t>
  </si>
  <si>
    <t>Corresponde a la inversión indirecta en el extranjero efectuado por los Fondos de Pensiones a través de los Fondos de inversión y y Fondos mutuos extranjeros</t>
  </si>
  <si>
    <t>Incluye Banco Recaudaciones, Banco retiros de ahorro, Banco pago de beneficios, Banco pago de ahorro previsional voluntario, Valores por depositar y en tránsito y Activos transitorios.</t>
  </si>
  <si>
    <t>Acciones de Sociedades Anónimas Abiertas</t>
  </si>
  <si>
    <t>Certificados negociables representativos de títulos accionarios de entidades extranjeras, emitidos por bancos depositarios en el extranjero</t>
  </si>
  <si>
    <t>Acciones de empresas y entidades bancarias extranjeras</t>
  </si>
  <si>
    <t>Banco Inversiones nacionales</t>
  </si>
  <si>
    <t>Banco Inversiones extranjeras</t>
  </si>
  <si>
    <t>Cuotas de Fondos de Inversión nacionales</t>
  </si>
  <si>
    <t>Cuotas de Fondos mutuos nacionales</t>
  </si>
  <si>
    <t>Cuotas de participación emitidas por Fondos de Inversión extranjeros</t>
  </si>
  <si>
    <t>Cuotas de participación emitidas por Fondos mutuos extranjeros</t>
  </si>
  <si>
    <t>Títulos representativos de índices accionarios extranjeros</t>
  </si>
  <si>
    <t>Títulos representativos de índices de renta fija</t>
  </si>
  <si>
    <t>Cuotas de Participación emitidas por Fondos de Inversión de Capital extranjero</t>
  </si>
  <si>
    <t>Swap extranjero de tasas de interés</t>
  </si>
  <si>
    <t>Swap nacionales en tasas</t>
  </si>
  <si>
    <t>WEMC</t>
  </si>
  <si>
    <t>Forward en monedas, correspondientes a operaciones de cobertura de riesgo financiero en el extranjero</t>
  </si>
  <si>
    <t>WEMV</t>
  </si>
  <si>
    <t>WENC</t>
  </si>
  <si>
    <t>Forwards de compra de monedas en el extranjero en que una de las monedas involucradas es nacional</t>
  </si>
  <si>
    <t>WENV</t>
  </si>
  <si>
    <t>Forwards de venta de monedas en el extranjero en que una de las monedas involucradas es nacional</t>
  </si>
  <si>
    <t>WNMC</t>
  </si>
  <si>
    <t>Forward en monedas correspondientes a operaciones de cobertura de riesgo financiero en el mercado nacional</t>
  </si>
  <si>
    <t>WNMV</t>
  </si>
  <si>
    <t>Duración</t>
  </si>
  <si>
    <t>% En clases de Activos</t>
  </si>
  <si>
    <t>Agregado</t>
  </si>
  <si>
    <t>Desagregado</t>
  </si>
  <si>
    <t>Plazo Promedio en días</t>
  </si>
  <si>
    <t>Días</t>
  </si>
  <si>
    <t>Extranjero / RF Estatal</t>
  </si>
  <si>
    <t>Extranjero / RF otros</t>
  </si>
  <si>
    <t>Extranjero / RF Bonos Empresas</t>
  </si>
  <si>
    <t>Bonos Empresas</t>
  </si>
  <si>
    <t>IIF Local</t>
  </si>
  <si>
    <t>Externo</t>
  </si>
  <si>
    <t>RF Local</t>
  </si>
  <si>
    <t>Total Activos Fondo E</t>
  </si>
  <si>
    <t>Asset Class</t>
  </si>
  <si>
    <t>Diff</t>
  </si>
  <si>
    <t>Al 30-09-2016</t>
  </si>
  <si>
    <t>moneda_objeto</t>
  </si>
  <si>
    <t>agrupacion_instrumentos</t>
  </si>
  <si>
    <t>numero72</t>
  </si>
  <si>
    <t>ns1:glosa73</t>
  </si>
  <si>
    <t>codigo74</t>
  </si>
  <si>
    <t>ns1:monto_dolares75</t>
  </si>
  <si>
    <t>ns1:monto_dolares76</t>
  </si>
  <si>
    <t>ns1:item77</t>
  </si>
  <si>
    <t>ns1:glosa78</t>
  </si>
  <si>
    <t>Dólar estadounidense(US$)</t>
  </si>
  <si>
    <t>Forward</t>
  </si>
  <si>
    <t>(1)</t>
  </si>
  <si>
    <t>Corresponde a las unidades del contrato en función del activo objeto</t>
  </si>
  <si>
    <t>Pesos</t>
  </si>
  <si>
    <t>Unidad de Fomento</t>
  </si>
  <si>
    <t>Yen (Japón)</t>
  </si>
  <si>
    <t>Euro(EUR)</t>
  </si>
  <si>
    <t>Peso mexicano</t>
  </si>
  <si>
    <t>Baht tailandés</t>
  </si>
  <si>
    <t>Corona sueca</t>
  </si>
  <si>
    <t>Dólar canadiense</t>
  </si>
  <si>
    <t>Dólar de Singapur</t>
  </si>
  <si>
    <t>Dólar hongkonés</t>
  </si>
  <si>
    <t>Dólar taiwanés</t>
  </si>
  <si>
    <t>Forint (Hungría)</t>
  </si>
  <si>
    <t>Franco suizo</t>
  </si>
  <si>
    <t>Indonesia</t>
  </si>
  <si>
    <t>Nueva lira turca</t>
  </si>
  <si>
    <t>Nuevo Shéquel Israelí</t>
  </si>
  <si>
    <t>Peso colombiano</t>
  </si>
  <si>
    <t>Rand (Sudáfrica)</t>
  </si>
  <si>
    <t>Real (Brasil)</t>
  </si>
  <si>
    <t>Ringgit Malasia</t>
  </si>
  <si>
    <t>Rublo Ruso</t>
  </si>
  <si>
    <t>Rupia (India)</t>
  </si>
  <si>
    <t>Won coreano</t>
  </si>
  <si>
    <t>Yuan Renminbi de China</t>
  </si>
  <si>
    <t>Zloty (Polonia)</t>
  </si>
  <si>
    <t>Corona noruega</t>
  </si>
  <si>
    <t>Dírham (Emiratos Árabes Unidos)</t>
  </si>
  <si>
    <t>Dólar australiano</t>
  </si>
  <si>
    <t>Dólar neozelandés</t>
  </si>
  <si>
    <t>Libra esterlina (Inglaterra)</t>
  </si>
  <si>
    <t>Nuevo sol (Perú)</t>
  </si>
  <si>
    <t>Peso Filipino</t>
  </si>
  <si>
    <t>Variable de "Estado"</t>
  </si>
  <si>
    <t>Compra</t>
  </si>
  <si>
    <t>Venta</t>
  </si>
  <si>
    <t>Diferencia</t>
  </si>
  <si>
    <t>¿Aplica?</t>
  </si>
  <si>
    <t>Resumen Forwards</t>
  </si>
  <si>
    <t> Cuotas Fondos Mutuos</t>
  </si>
  <si>
    <t>       Cuotas Fondos Inversión Nacionales</t>
  </si>
  <si>
    <t>       Bonos de Empresas</t>
  </si>
  <si>
    <t>       Cuotas Fondos Mutuos Nacionales</t>
  </si>
  <si>
    <t>       Bonos de Gobierno</t>
  </si>
  <si>
    <t>       Bonos Bancos Extranjeros</t>
  </si>
  <si>
    <t>       Títulos representativos de Índice Renta Fija</t>
  </si>
  <si>
    <t>       Disponible</t>
  </si>
  <si>
    <t>Chequeo</t>
  </si>
  <si>
    <t>Corona checa</t>
  </si>
  <si>
    <t>TOTAL INVERSION EN EL EXTRANJERO</t>
  </si>
  <si>
    <t>as</t>
  </si>
  <si>
    <t>Resumen Físico Extranjero</t>
  </si>
  <si>
    <t>Chequeo Total</t>
  </si>
  <si>
    <t>USD</t>
  </si>
  <si>
    <t>Resumen Físico Local</t>
  </si>
  <si>
    <t>Moneda</t>
  </si>
  <si>
    <t>EMISOR</t>
  </si>
  <si>
    <t>Nemotecnico</t>
  </si>
  <si>
    <t>FONDO A</t>
  </si>
  <si>
    <t>FONDO B</t>
  </si>
  <si>
    <t>FONDO C</t>
  </si>
  <si>
    <t>FONDO D</t>
  </si>
  <si>
    <t>FONDO E</t>
  </si>
  <si>
    <t>% sobre el Total del Fondo de Pensiones</t>
  </si>
  <si>
    <t>       AES GENER S.A.</t>
  </si>
  <si>
    <t>BGENE-N</t>
  </si>
  <si>
    <t>USP0607JAE84</t>
  </si>
  <si>
    <t>USP0607LAB91</t>
  </si>
  <si>
    <t>       CGE DISTRIBUCION S.A.</t>
  </si>
  <si>
    <t>BCGED-E</t>
  </si>
  <si>
    <t>       CHILQUINTA ENERGIA S.A.</t>
  </si>
  <si>
    <t>BCQTA-B</t>
  </si>
  <si>
    <t>       COLBUN S.A.</t>
  </si>
  <si>
    <t>BCOLB-C</t>
  </si>
  <si>
    <t>BCOLB-F</t>
  </si>
  <si>
    <t>BCOLB-I</t>
  </si>
  <si>
    <t>USP2867KAE66</t>
  </si>
  <si>
    <t>       EMPRESA ELECTRICA DE LA FRONTERA S.A.</t>
  </si>
  <si>
    <t>BFRON-G</t>
  </si>
  <si>
    <t>       EMPRESA NACIONAL DE ELECTRICIDAD S.A.</t>
  </si>
  <si>
    <t>BENDE-H</t>
  </si>
  <si>
    <t>BENDE-M</t>
  </si>
  <si>
    <t>US29244TAA97</t>
  </si>
  <si>
    <t>       ENERSIS AMERICAS S.A.</t>
  </si>
  <si>
    <t>BENER-B2</t>
  </si>
  <si>
    <t>       ENGIE ENERGIA CHILE S.A.</t>
  </si>
  <si>
    <t>USP36020AB42</t>
  </si>
  <si>
    <t>       ENLASA GENERACION CHILE S.A.</t>
  </si>
  <si>
    <t>BENGE-B</t>
  </si>
  <si>
    <t>       INVERSIONES ELECTRICAS DEL SUR S.A.</t>
  </si>
  <si>
    <t>BIELC-D</t>
  </si>
  <si>
    <t>BIELC-E</t>
  </si>
  <si>
    <t>BIELC-H</t>
  </si>
  <si>
    <t>       SOCIEDAD AUSTRAL DE ELECTRICIDAD S.A.</t>
  </si>
  <si>
    <t>BSAES-G</t>
  </si>
  <si>
    <t>BSAES-J</t>
  </si>
  <si>
    <t>BSAES-L</t>
  </si>
  <si>
    <t>BSAES-O</t>
  </si>
  <si>
    <t>       TRANSELEC SA</t>
  </si>
  <si>
    <t>BNTRA-D</t>
  </si>
  <si>
    <t>BNTRA-H</t>
  </si>
  <si>
    <t>BNTRA-K</t>
  </si>
  <si>
    <t>BNTRA-M</t>
  </si>
  <si>
    <t>BNTRA-N</t>
  </si>
  <si>
    <t>BNTRA-Q</t>
  </si>
  <si>
    <t>USP9339SAQ77</t>
  </si>
  <si>
    <t>USP9339SAS34</t>
  </si>
  <si>
    <t>       TRANSNET S.A.</t>
  </si>
  <si>
    <t>BCGET-D</t>
  </si>
  <si>
    <t>TOTAL BONOS SECTOR ECONÓMICO ELECTRICO</t>
  </si>
  <si>
    <t>       CIA. NAC. TELEFONOS, TELEFONICA DEL SUR S.A.</t>
  </si>
  <si>
    <t>BTSUR-K</t>
  </si>
  <si>
    <t>       EMPRESA NACIONAL DE TELECOMUNICACIONES S.A.</t>
  </si>
  <si>
    <t>BENTE-M</t>
  </si>
  <si>
    <t>USP37115AE50</t>
  </si>
  <si>
    <t>USP37115AF26</t>
  </si>
  <si>
    <t>       TELEFONICA MOVILES CHILE S.A.</t>
  </si>
  <si>
    <t>BTMOV-C</t>
  </si>
  <si>
    <t>BTMOV-D</t>
  </si>
  <si>
    <t>BTMOV-F</t>
  </si>
  <si>
    <t>BTMOV-G</t>
  </si>
  <si>
    <t>BTMOV-K</t>
  </si>
  <si>
    <t>TOTAL BONOS SECTOR ECONÓMICO TELECOMUNICACIONES</t>
  </si>
  <si>
    <t>       AGUAS ANDINAS S.A.</t>
  </si>
  <si>
    <t>BAGUA-AA</t>
  </si>
  <si>
    <t>BAGUA-J</t>
  </si>
  <si>
    <t>BAGUA-K</t>
  </si>
  <si>
    <t>BAGUA-M</t>
  </si>
  <si>
    <t>BAGUA-P</t>
  </si>
  <si>
    <t>BAGUA-Q</t>
  </si>
  <si>
    <t>BAGUA-S</t>
  </si>
  <si>
    <t>BAGUA-U</t>
  </si>
  <si>
    <t>BAGUA-V</t>
  </si>
  <si>
    <t>BAGUA-W</t>
  </si>
  <si>
    <t>BAGUA-X</t>
  </si>
  <si>
    <t>       AGUAS NUEVAS S.A.</t>
  </si>
  <si>
    <t>BANUE-A</t>
  </si>
  <si>
    <t>       AUTOPISTA DEL MAIPO SOC. CONCESIONARIA S.A.</t>
  </si>
  <si>
    <t>BAMAI-A1</t>
  </si>
  <si>
    <t>BAMAI-B1</t>
  </si>
  <si>
    <t>       BANCHILE SECURITIZADORA S.A.</t>
  </si>
  <si>
    <t>BCHIS-P13A</t>
  </si>
  <si>
    <t>BCHIS-P18A</t>
  </si>
  <si>
    <t>       BANMEDICA S.A.</t>
  </si>
  <si>
    <t>BBANM-B</t>
  </si>
  <si>
    <t>BBANM-D</t>
  </si>
  <si>
    <t>BBANM-I</t>
  </si>
  <si>
    <t>BBANM-J</t>
  </si>
  <si>
    <t>       BCI SECURITIZADORA S.A.</t>
  </si>
  <si>
    <t>BBCIS-P26A</t>
  </si>
  <si>
    <t>BBCIS-P30A</t>
  </si>
  <si>
    <t>       CAJA DE C. ASIGNACION FAMILIAR DE LOS ANDES</t>
  </si>
  <si>
    <t>BCAJ-F0513</t>
  </si>
  <si>
    <t>       CAJA DE COMP. DE ASIG. FAMILIAR LA ARAUCANA</t>
  </si>
  <si>
    <t>BCCA-C0912</t>
  </si>
  <si>
    <t>BCCA-E0115</t>
  </si>
  <si>
    <t>BCCAR-A</t>
  </si>
  <si>
    <t>       CAJA DE COMPENSACION DE ASIG. FAM. LOS HEROES</t>
  </si>
  <si>
    <t>BHER-C0413</t>
  </si>
  <si>
    <t>BHER-G0914</t>
  </si>
  <si>
    <t>       CENCOSUD S.A.</t>
  </si>
  <si>
    <t>BCENC-F</t>
  </si>
  <si>
    <t>BCENC-J</t>
  </si>
  <si>
    <t>BCENC-N</t>
  </si>
  <si>
    <t>BCENC-O</t>
  </si>
  <si>
    <t>BJUMB-B2</t>
  </si>
  <si>
    <t>USP2205JAE03</t>
  </si>
  <si>
    <t>USP2205JAH34</t>
  </si>
  <si>
    <t>USP2205JAK62</t>
  </si>
  <si>
    <t>USP2205JAL46</t>
  </si>
  <si>
    <t>       CLINICA LAS CONDES S.A.</t>
  </si>
  <si>
    <t>BLCON-B</t>
  </si>
  <si>
    <t>       CONSORCIO FINANCIERO</t>
  </si>
  <si>
    <t>BCFSA-A</t>
  </si>
  <si>
    <t>BCFSA-B</t>
  </si>
  <si>
    <t>       EMPRESA DE LOS FERROCARRILES DEL ESTADO</t>
  </si>
  <si>
    <t>BFFCC-AB</t>
  </si>
  <si>
    <t>BFFCC-F</t>
  </si>
  <si>
    <t>BFFCC-G</t>
  </si>
  <si>
    <t>BFFCC-H</t>
  </si>
  <si>
    <t>BFFCC-J</t>
  </si>
  <si>
    <t>BFFCC-K</t>
  </si>
  <si>
    <t>BFFCC-M</t>
  </si>
  <si>
    <t>BFFCC-N</t>
  </si>
  <si>
    <t>BFFCC-O</t>
  </si>
  <si>
    <t>BFFCC-P</t>
  </si>
  <si>
    <t>BFFCC-Q</t>
  </si>
  <si>
    <t>BFFCC-R</t>
  </si>
  <si>
    <t>BFFCC-S</t>
  </si>
  <si>
    <t>BFFCC-T</t>
  </si>
  <si>
    <t>BFFCC-V</t>
  </si>
  <si>
    <t>BFFCC-X</t>
  </si>
  <si>
    <t>BFFCC-Z</t>
  </si>
  <si>
    <t>       EMPRESA DE TRANSPORTE DE PASAJEROS METRO S.A.</t>
  </si>
  <si>
    <t>BMETR-A</t>
  </si>
  <si>
    <t>BMETR-B</t>
  </si>
  <si>
    <t>BMETR-C</t>
  </si>
  <si>
    <t>BMETR-D</t>
  </si>
  <si>
    <t>BMETR-E</t>
  </si>
  <si>
    <t>BMETR-F</t>
  </si>
  <si>
    <t>BMETR-G</t>
  </si>
  <si>
    <t>BMETR-H</t>
  </si>
  <si>
    <t>BMETR-I</t>
  </si>
  <si>
    <t>BMETR-J</t>
  </si>
  <si>
    <t>BMETR-K</t>
  </si>
  <si>
    <t>BMETR-L</t>
  </si>
  <si>
    <t>BMETR-M</t>
  </si>
  <si>
    <t>USP37466AJ19</t>
  </si>
  <si>
    <t>       EMPRESAS LA POLAR S.A.</t>
  </si>
  <si>
    <t>BLAPO-F</t>
  </si>
  <si>
    <t>BLAPO-G</t>
  </si>
  <si>
    <t>BLAPO-H</t>
  </si>
  <si>
    <t>       EMPRESAS LIPIGAS S.A.</t>
  </si>
  <si>
    <t>BLIPI-E</t>
  </si>
  <si>
    <t>       ESSBIO S.A.</t>
  </si>
  <si>
    <t>BESSB-D</t>
  </si>
  <si>
    <t>BESSB-E</t>
  </si>
  <si>
    <t>BESSB-H</t>
  </si>
  <si>
    <t>       ESVAL S.A.</t>
  </si>
  <si>
    <t>BESVA-D1</t>
  </si>
  <si>
    <t>BESVA-D2</t>
  </si>
  <si>
    <t>BESVA-H</t>
  </si>
  <si>
    <t>BESVA-J</t>
  </si>
  <si>
    <t>BESVA-M</t>
  </si>
  <si>
    <t>BESVA-O</t>
  </si>
  <si>
    <t>BESVA-P</t>
  </si>
  <si>
    <t>BESVA-Q</t>
  </si>
  <si>
    <t>BESVA-T</t>
  </si>
  <si>
    <t>       FORUM SERVICIOS FINANCIEROS S.A.</t>
  </si>
  <si>
    <t>BFORU-AQ</t>
  </si>
  <si>
    <t>BFORU-AR</t>
  </si>
  <si>
    <t>BFORU-AT</t>
  </si>
  <si>
    <t>BFORU-AX</t>
  </si>
  <si>
    <t>BFORU-AZ</t>
  </si>
  <si>
    <t>BFORU-BD</t>
  </si>
  <si>
    <t>       GASCO S.A.</t>
  </si>
  <si>
    <t>BGASC-D</t>
  </si>
  <si>
    <t>BGASC-H</t>
  </si>
  <si>
    <t>       GRUPO SECURITY S.A.</t>
  </si>
  <si>
    <t>BSECU-F</t>
  </si>
  <si>
    <t>BSECU-L3</t>
  </si>
  <si>
    <t>       INVERSIONES SOUTHWATER LIMITADA</t>
  </si>
  <si>
    <t>BSWTR-E</t>
  </si>
  <si>
    <t>BSWTR-I</t>
  </si>
  <si>
    <t>       ITAU CHILE SECURITIZADORA S.A.</t>
  </si>
  <si>
    <t>BBOTS-P1B</t>
  </si>
  <si>
    <t>BBOTS-P2D</t>
  </si>
  <si>
    <t>       LQ INVERSIONES FINANCIERAS S.A.</t>
  </si>
  <si>
    <t>BLQIF-C</t>
  </si>
  <si>
    <t>BLQIF-D</t>
  </si>
  <si>
    <t>       METROGAS S.A.</t>
  </si>
  <si>
    <t>BMGAS-B2</t>
  </si>
  <si>
    <t>BMGAS-D1</t>
  </si>
  <si>
    <t>BMGAS-D2</t>
  </si>
  <si>
    <t>BMGAS-F</t>
  </si>
  <si>
    <t>       NUEVOSUR S.A</t>
  </si>
  <si>
    <t>BANSM-A</t>
  </si>
  <si>
    <t>       PARQUE ARAUCO S.A.</t>
  </si>
  <si>
    <t>BPARC-H</t>
  </si>
  <si>
    <t>BPARC-K</t>
  </si>
  <si>
    <t>BPARC-O</t>
  </si>
  <si>
    <t>       PLAZA S.A.</t>
  </si>
  <si>
    <t>BPLZA-C</t>
  </si>
  <si>
    <t>BPLZA-D</t>
  </si>
  <si>
    <t>BPLZA-E</t>
  </si>
  <si>
    <t>BPLZA-H</t>
  </si>
  <si>
    <t>BPLZA-K</t>
  </si>
  <si>
    <t>BPLZA-M</t>
  </si>
  <si>
    <t>BPLZA-N</t>
  </si>
  <si>
    <t>       RABOINVESTMENTS CHILE S.A.</t>
  </si>
  <si>
    <t>BRABO-A</t>
  </si>
  <si>
    <t>       RIPLEY CHILE S.A.</t>
  </si>
  <si>
    <t>BRPLY-E</t>
  </si>
  <si>
    <t>       RUTA DEL BOSQUE SOCIEDAD CONCESIONARIA S.A.</t>
  </si>
  <si>
    <t>BBOSQ-A1</t>
  </si>
  <si>
    <t>       S.A.C.I. FALABELLA</t>
  </si>
  <si>
    <t>BFALA-J</t>
  </si>
  <si>
    <t>BFALA-M</t>
  </si>
  <si>
    <t>BFALA-O</t>
  </si>
  <si>
    <t>BFALA-P</t>
  </si>
  <si>
    <t>USP82290AA81</t>
  </si>
  <si>
    <t>USP82290AB64</t>
  </si>
  <si>
    <t>USP82290AG51</t>
  </si>
  <si>
    <t>       SANTANDER S.A. SOCIEDAD SECURITIZADORA</t>
  </si>
  <si>
    <t>BSTDS-A1</t>
  </si>
  <si>
    <t>BSTDS-A2</t>
  </si>
  <si>
    <t>BSTDS-AB</t>
  </si>
  <si>
    <t>BSTDS-AH</t>
  </si>
  <si>
    <t>BSTDS-AM</t>
  </si>
  <si>
    <t>BSTDS-BH</t>
  </si>
  <si>
    <t>BSTDS-BM</t>
  </si>
  <si>
    <t>       SECURITIZADORA BICE S.A.</t>
  </si>
  <si>
    <t>BBICS-BC</t>
  </si>
  <si>
    <t>BBICS-BD</t>
  </si>
  <si>
    <t>BBICS-LA</t>
  </si>
  <si>
    <t>BBICS-MA</t>
  </si>
  <si>
    <t>BBICS-MB</t>
  </si>
  <si>
    <t>       SECURITIZADORA INTERAMERICANA S.A.</t>
  </si>
  <si>
    <t>BINTS-BA</t>
  </si>
  <si>
    <t>       SECURITIZADORA SECURITY S.A.</t>
  </si>
  <si>
    <t>BSECS-10A</t>
  </si>
  <si>
    <t>BSECS-11A2</t>
  </si>
  <si>
    <t>BSECS-3A</t>
  </si>
  <si>
    <t>BSECS-4A</t>
  </si>
  <si>
    <t>BSECS-5A1</t>
  </si>
  <si>
    <t>BSECS-6A1</t>
  </si>
  <si>
    <t>BSECS-9A1</t>
  </si>
  <si>
    <t>       SIGDO KOPPERS S.A.</t>
  </si>
  <si>
    <t>BSKSA-B</t>
  </si>
  <si>
    <t>BSKSA-C</t>
  </si>
  <si>
    <t>BSKSA-E</t>
  </si>
  <si>
    <t>       SOC. CONCES. AUTOPISTA LOS LIBERTADORES S.A.</t>
  </si>
  <si>
    <t>BALIB-B1</t>
  </si>
  <si>
    <t>BALIB-C1</t>
  </si>
  <si>
    <t>       SOC. CONCESIONARIA AUTOPISTA VESPUCIO SUR SA</t>
  </si>
  <si>
    <t>BAVSU-A1</t>
  </si>
  <si>
    <t>       SOC. CONCESIONARIA RUTAS DEL PACIFICO S.A.</t>
  </si>
  <si>
    <t>BAPAC-B1</t>
  </si>
  <si>
    <t>BAPAC-B2</t>
  </si>
  <si>
    <t>       SOC. CONCESIONARIA VESPUCIO NORTE EXPRESS S.A</t>
  </si>
  <si>
    <t>BAVNO-A1</t>
  </si>
  <si>
    <t>       SOCIEDAD CONCESIONARIA AUTOPISTA CENTRAL S.A.</t>
  </si>
  <si>
    <t>BACEN-A1</t>
  </si>
  <si>
    <t>       SOCIEDAD CONCESIONARIA AUTOPISTA DEL SOL S.A.</t>
  </si>
  <si>
    <t>BASOL-A1</t>
  </si>
  <si>
    <t>BASOL-A2</t>
  </si>
  <si>
    <t>BASOL-B1</t>
  </si>
  <si>
    <t>BASOL-B2</t>
  </si>
  <si>
    <t>BASOL-C1</t>
  </si>
  <si>
    <t>       SOCIEDAD CONCESIONARIA COSTANERA NORTE SA</t>
  </si>
  <si>
    <t>BANOR-B1</t>
  </si>
  <si>
    <t>BANOR-B2</t>
  </si>
  <si>
    <t>       SOCIEDAD CONCESIONARIA SAN JOSE - TECNOCONTROL S.A.</t>
  </si>
  <si>
    <t>BCOSJ-A</t>
  </si>
  <si>
    <t>       SOCIEDAD DE INVERSIONES Y SERVICIOS LA CONSTRUCCION S.A.</t>
  </si>
  <si>
    <t>BEILC-C</t>
  </si>
  <si>
    <t>       SOCIEDAD NACIONAL DE OLEODUCTOS S.A.</t>
  </si>
  <si>
    <t>BSONA-B</t>
  </si>
  <si>
    <t>       SODIMAC SA</t>
  </si>
  <si>
    <t>BSODI-K</t>
  </si>
  <si>
    <t>       SONDA S.A.</t>
  </si>
  <si>
    <t>BSOND-C</t>
  </si>
  <si>
    <t>       TANNER SERVICIOS FINANCIEROS S.A.</t>
  </si>
  <si>
    <t>BTANN-Q</t>
  </si>
  <si>
    <t>BTANN-S</t>
  </si>
  <si>
    <t>       TRANSA SECURITIZADORA S.A.</t>
  </si>
  <si>
    <t>BTRA1-6B1</t>
  </si>
  <si>
    <t>BTRA1-7B</t>
  </si>
  <si>
    <t>BTRA1-8B</t>
  </si>
  <si>
    <t>TOTAL BONOS SECTOR ECONÓMICO SERVICIOS</t>
  </si>
  <si>
    <t>       CELULOSA ARAUCO Y CONSTITUCION S.A.</t>
  </si>
  <si>
    <t>BARAU-F</t>
  </si>
  <si>
    <t>BARAU-J</t>
  </si>
  <si>
    <t>BARAU-P</t>
  </si>
  <si>
    <t>BARAU-R</t>
  </si>
  <si>
    <t>US151191AQ67</t>
  </si>
  <si>
    <t>US151191AT07</t>
  </si>
  <si>
    <t>US151191AZ66</t>
  </si>
  <si>
    <t>       COCA-COLA EMBONOR S.A.</t>
  </si>
  <si>
    <t>BKOEM-F</t>
  </si>
  <si>
    <t>       COMPANIA CERVECERIAS UNIDAS S.A.</t>
  </si>
  <si>
    <t>BCERV-E</t>
  </si>
  <si>
    <t>BCERV-H</t>
  </si>
  <si>
    <t>       CRISTALERIAS DE CHILE S.A.</t>
  </si>
  <si>
    <t>BCRIS-F</t>
  </si>
  <si>
    <t>       EMBOTELLADORA ANDINA S.A.</t>
  </si>
  <si>
    <t>BANDI-B1</t>
  </si>
  <si>
    <t>BANDI-B2</t>
  </si>
  <si>
    <t>BANDI-D</t>
  </si>
  <si>
    <t>BANDI-E</t>
  </si>
  <si>
    <t>BEKOP-C</t>
  </si>
  <si>
    <t>USP3697UAD02</t>
  </si>
  <si>
    <t>       EMPRESAS CAROZZI S.A.</t>
  </si>
  <si>
    <t>BEMCA-J</t>
  </si>
  <si>
    <t>BEMCA-N</t>
  </si>
  <si>
    <t>BEMCA-P</t>
  </si>
  <si>
    <t>       ENAEX S.A.</t>
  </si>
  <si>
    <t>BENAE-A</t>
  </si>
  <si>
    <t>BENAE-C</t>
  </si>
  <si>
    <t>       QUINENCO S.A.</t>
  </si>
  <si>
    <t>BQUIN-C</t>
  </si>
  <si>
    <t>BQUIN-E</t>
  </si>
  <si>
    <t>BQUIN-F</t>
  </si>
  <si>
    <t>BQUIN-G</t>
  </si>
  <si>
    <t>BQUIN-J</t>
  </si>
  <si>
    <t>BQUIN-O</t>
  </si>
  <si>
    <t>BQUIN-R</t>
  </si>
  <si>
    <t>       SOCIEDAD ANONIMA VINA SANTA RITA S.A.</t>
  </si>
  <si>
    <t>BRITA-F</t>
  </si>
  <si>
    <t>       VINA CONCHA Y TORO S.A.</t>
  </si>
  <si>
    <t>BCTOR-F</t>
  </si>
  <si>
    <t>       WATTS S.A.</t>
  </si>
  <si>
    <t>BWATT-I</t>
  </si>
  <si>
    <t>BWATT-O</t>
  </si>
  <si>
    <t>TOTAL BONOS SECTOR ECONÓMICO INDUSTRIAL</t>
  </si>
  <si>
    <t>       CAP S.A.</t>
  </si>
  <si>
    <t>BCAPS-F</t>
  </si>
  <si>
    <t>       COMPAÑIA GENERAL DE ELECTRICIDAD S.A</t>
  </si>
  <si>
    <t>BCGEI-I</t>
  </si>
  <si>
    <t>BCGEI-J</t>
  </si>
  <si>
    <t>BCGEI-K</t>
  </si>
  <si>
    <t>       CORPORACION NACIONAL DEL COBRE DE CHILE</t>
  </si>
  <si>
    <t>BCODE-B</t>
  </si>
  <si>
    <t>BCODE-C</t>
  </si>
  <si>
    <t>USP3143NAH72</t>
  </si>
  <si>
    <t>USP3143NAN41</t>
  </si>
  <si>
    <t>USP3143NAP98</t>
  </si>
  <si>
    <t>USP3143NAR54</t>
  </si>
  <si>
    <t>USP3143NAW40</t>
  </si>
  <si>
    <t>       EMPRESA NACIONAL DEL PETROLEO</t>
  </si>
  <si>
    <t>BENAP-B</t>
  </si>
  <si>
    <t>BENAP-D</t>
  </si>
  <si>
    <t>BENAP-E</t>
  </si>
  <si>
    <t>USP37110AG12</t>
  </si>
  <si>
    <t>USP37110AJ50</t>
  </si>
  <si>
    <t>USP37110AK24</t>
  </si>
  <si>
    <t>       EMPRESAS COPEC S.A.</t>
  </si>
  <si>
    <t>BECOP-C</t>
  </si>
  <si>
    <t>BECOP-E</t>
  </si>
  <si>
    <t>BECOP-G</t>
  </si>
  <si>
    <t>       INVERSIONES CMPC S.A.</t>
  </si>
  <si>
    <t>BCMPC-F</t>
  </si>
  <si>
    <t>BCMPC-G</t>
  </si>
  <si>
    <t>USG49215AA73</t>
  </si>
  <si>
    <t>USP58072AE24</t>
  </si>
  <si>
    <t>USP58072AG71</t>
  </si>
  <si>
    <t>USP58072AK83</t>
  </si>
  <si>
    <t>USP58073AA84</t>
  </si>
  <si>
    <t>       MASISA S.A.</t>
  </si>
  <si>
    <t>BMASI-H</t>
  </si>
  <si>
    <t>BMASI-L</t>
  </si>
  <si>
    <t>BMASI-N</t>
  </si>
  <si>
    <t>USP6460HAA34</t>
  </si>
  <si>
    <t>       SOCIEDAD QUIMICA Y MINERA DE CHILE S.A.</t>
  </si>
  <si>
    <t>BSOQU-C</t>
  </si>
  <si>
    <t>BSOQU-H</t>
  </si>
  <si>
    <t>BSOQU-M</t>
  </si>
  <si>
    <t>BSOQU-O</t>
  </si>
  <si>
    <t>TOTAL BONOS SECTOR ECONÓMICO RECURSOS NATURALES</t>
  </si>
  <si>
    <t>EMPRESAS EXTRANJERAS</t>
  </si>
  <si>
    <t>USP0156PAB50</t>
  </si>
  <si>
    <t>ALFA SAB DE CV</t>
  </si>
  <si>
    <t>USP01703AB65</t>
  </si>
  <si>
    <t>ALPEK SA DE CV</t>
  </si>
  <si>
    <t>BAMOV-D</t>
  </si>
  <si>
    <t>AMERICA MOVIL SAB DE CV</t>
  </si>
  <si>
    <t>XS1075312204</t>
  </si>
  <si>
    <t>PAP169941328</t>
  </si>
  <si>
    <t>BANCO LATINOAMERICANO DE COMERCIO EXTERIOR SA</t>
  </si>
  <si>
    <t>US1512908898</t>
  </si>
  <si>
    <t>CEMEX SAB DE CV</t>
  </si>
  <si>
    <t>US1912411089</t>
  </si>
  <si>
    <t>COCA COLA FEMSA SAB DE CV</t>
  </si>
  <si>
    <t>PAP310761054</t>
  </si>
  <si>
    <t>COPA HOLDINGS SA</t>
  </si>
  <si>
    <t>US31573A1097</t>
  </si>
  <si>
    <t>FIBRIA CELULOSE SA</t>
  </si>
  <si>
    <t>USP40420AA25</t>
  </si>
  <si>
    <t>FINDETER</t>
  </si>
  <si>
    <t>US3444191064</t>
  </si>
  <si>
    <t>FOMENTO ECONOMICO MEXICANO SAB DE CV</t>
  </si>
  <si>
    <t>USG371E2AA61</t>
  </si>
  <si>
    <t>FRESNILLO PLC</t>
  </si>
  <si>
    <t>USP4948KAD74</t>
  </si>
  <si>
    <t>GRUMA SAB DE CV</t>
  </si>
  <si>
    <t>US40049JAT43</t>
  </si>
  <si>
    <t>GRUPO TELEVISA SA</t>
  </si>
  <si>
    <t>US40049JBB26</t>
  </si>
  <si>
    <t>US4655621062</t>
  </si>
  <si>
    <t>ITAU UNIBANCO HOLDING SA</t>
  </si>
  <si>
    <t>US71654QBW15</t>
  </si>
  <si>
    <t>PETROLEOS MEXICANOS</t>
  </si>
  <si>
    <t>US71656MBK45</t>
  </si>
  <si>
    <t>US71656MBL28</t>
  </si>
  <si>
    <t>USP26054AA76</t>
  </si>
  <si>
    <t>PLA ADMINISTRADORA INDUSTRIAL S DE RL DE CV</t>
  </si>
  <si>
    <t>USP8674JAE93</t>
  </si>
  <si>
    <t>SIGMA ALIMENTOS SA DE CV</t>
  </si>
  <si>
    <t>US87484EAB74</t>
  </si>
  <si>
    <t>TAM CAPITAL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</si>
</sst>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%"/>
    <numFmt numFmtId="165" formatCode="#,##0.00_ ;\-#,##0.00\ "/>
    <numFmt numFmtId="166" formatCode="0.0"/>
    <numFmt numFmtId="167" formatCode="0.000"/>
    <numFmt numFmtId="168" formatCode="0.0000%"/>
    <numFmt numFmtId="169" formatCode="0.00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7C7B7B"/>
      <name val="Trebuchet MS"/>
      <family val="2"/>
    </font>
    <font>
      <b/>
      <sz val="8"/>
      <color rgb="FF7C7B7B"/>
      <name val="Trebuchet MS"/>
      <family val="2"/>
    </font>
    <font>
      <sz val="8"/>
      <name val="Tahoma"/>
      <family val="2"/>
    </font>
    <font>
      <b/>
      <sz val="8"/>
      <color rgb="FF445B69"/>
      <name val="Trebuchet MS"/>
      <family val="2"/>
    </font>
    <font>
      <b/>
      <sz val="13.5"/>
      <color theme="1"/>
      <name val="Calibri"/>
      <family val="2"/>
      <scheme val="minor"/>
    </font>
    <font>
      <b/>
      <sz val="10"/>
      <color theme="1"/>
      <name val="Trebuchet MS"/>
      <family val="2"/>
    </font>
    <font>
      <b/>
      <sz val="8"/>
      <color theme="1"/>
      <name val="Tahoma"/>
      <family val="2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4F8FA"/>
        <bgColor indexed="64"/>
      </patternFill>
    </fill>
    <fill>
      <patternFill patternType="solid">
        <fgColor rgb="FFEEEFEF"/>
        <bgColor indexed="64"/>
      </patternFill>
    </fill>
    <fill>
      <patternFill patternType="solid">
        <fgColor rgb="FFF3FB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rgb="FFBBBBBC"/>
      </left>
      <right style="medium">
        <color rgb="FFBBBBBC"/>
      </right>
      <top style="medium">
        <color rgb="FFBBBBBC"/>
      </top>
      <bottom style="medium">
        <color rgb="FFBBBBBC"/>
      </bottom>
      <diagonal/>
    </border>
    <border>
      <left style="medium">
        <color rgb="FFBBBBBC"/>
      </left>
      <right style="medium">
        <color rgb="FFBBBBBC"/>
      </right>
      <top style="medium">
        <color rgb="FFBBBBBC"/>
      </top>
      <bottom/>
      <diagonal/>
    </border>
    <border>
      <left style="medium">
        <color rgb="FFBBBBBC"/>
      </left>
      <right style="medium">
        <color rgb="FFBBBBBC"/>
      </right>
      <top/>
      <bottom style="medium">
        <color rgb="FFBBBBBC"/>
      </bottom>
      <diagonal/>
    </border>
    <border>
      <left style="medium">
        <color rgb="FFBBBBBC"/>
      </left>
      <right/>
      <top style="medium">
        <color rgb="FFBBBBBC"/>
      </top>
      <bottom style="medium">
        <color rgb="FFBBBBBC"/>
      </bottom>
      <diagonal/>
    </border>
    <border>
      <left/>
      <right style="medium">
        <color rgb="FFBBBBBC"/>
      </right>
      <top style="medium">
        <color rgb="FFBBBBBC"/>
      </top>
      <bottom style="medium">
        <color rgb="FFBBBBBC"/>
      </bottom>
      <diagonal/>
    </border>
    <border>
      <left style="medium">
        <color rgb="FFBBBBBC"/>
      </left>
      <right/>
      <top/>
      <bottom/>
      <diagonal/>
    </border>
    <border>
      <left/>
      <right style="medium">
        <color rgb="FFBBBBBC"/>
      </right>
      <top/>
      <bottom/>
      <diagonal/>
    </border>
    <border>
      <left style="medium">
        <color rgb="FFBBBBBC"/>
      </left>
      <right/>
      <top/>
      <bottom style="medium">
        <color rgb="FFBBBBBC"/>
      </bottom>
      <diagonal/>
    </border>
    <border>
      <left/>
      <right/>
      <top/>
      <bottom style="medium">
        <color rgb="FFBBBBBC"/>
      </bottom>
      <diagonal/>
    </border>
    <border>
      <left/>
      <right style="medium">
        <color rgb="FFBBBBBC"/>
      </right>
      <top/>
      <bottom style="medium">
        <color rgb="FFBBBBBC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BBBBBC"/>
      </top>
      <bottom/>
      <diagonal/>
    </border>
    <border>
      <left style="medium">
        <color rgb="FFBBBBBC"/>
      </left>
      <right/>
      <top style="medium">
        <color rgb="FFBBBBB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BBBBBC"/>
      </right>
      <top style="medium">
        <color rgb="FFBBBBBC"/>
      </top>
      <bottom/>
      <diagonal/>
    </border>
    <border>
      <left/>
      <right/>
      <top style="medium">
        <color rgb="FFBBBBBC"/>
      </top>
      <bottom style="medium">
        <color rgb="FFBBBBB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5">
    <xf numFmtId="0" fontId="0" fillId="0" borderId="0" xfId="0"/>
    <xf numFmtId="0" fontId="2" fillId="2" borderId="2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right" vertical="center" wrapText="1"/>
    </xf>
    <xf numFmtId="0" fontId="4" fillId="0" borderId="11" xfId="0" applyFont="1" applyBorder="1" applyAlignment="1" applyProtection="1"/>
    <xf numFmtId="164" fontId="4" fillId="0" borderId="0" xfId="2" applyNumberFormat="1" applyFont="1" applyBorder="1" applyAlignment="1" applyProtection="1"/>
    <xf numFmtId="0" fontId="4" fillId="0" borderId="12" xfId="0" applyFont="1" applyBorder="1" applyAlignment="1" applyProtection="1"/>
    <xf numFmtId="164" fontId="4" fillId="0" borderId="13" xfId="2" applyNumberFormat="1" applyFont="1" applyBorder="1" applyAlignment="1" applyProtection="1"/>
    <xf numFmtId="164" fontId="0" fillId="0" borderId="0" xfId="2" applyNumberFormat="1" applyFont="1"/>
    <xf numFmtId="164" fontId="0" fillId="0" borderId="0" xfId="0" applyNumberFormat="1"/>
    <xf numFmtId="43" fontId="4" fillId="0" borderId="0" xfId="1" applyFont="1" applyBorder="1" applyAlignment="1" applyProtection="1"/>
    <xf numFmtId="43" fontId="4" fillId="0" borderId="13" xfId="1" applyFont="1" applyBorder="1" applyAlignment="1" applyProtection="1"/>
    <xf numFmtId="43" fontId="0" fillId="0" borderId="0" xfId="1" applyFont="1"/>
    <xf numFmtId="0" fontId="2" fillId="2" borderId="8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left" wrapText="1"/>
    </xf>
    <xf numFmtId="0" fontId="5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0" fontId="3" fillId="9" borderId="6" xfId="0" applyFont="1" applyFill="1" applyBorder="1" applyAlignment="1">
      <alignment horizontal="left"/>
    </xf>
    <xf numFmtId="0" fontId="4" fillId="5" borderId="11" xfId="0" applyFont="1" applyFill="1" applyBorder="1" applyAlignment="1" applyProtection="1"/>
    <xf numFmtId="0" fontId="4" fillId="6" borderId="11" xfId="0" applyFont="1" applyFill="1" applyBorder="1" applyAlignment="1" applyProtection="1"/>
    <xf numFmtId="0" fontId="4" fillId="9" borderId="11" xfId="0" applyFont="1" applyFill="1" applyBorder="1" applyAlignment="1" applyProtection="1"/>
    <xf numFmtId="0" fontId="4" fillId="7" borderId="11" xfId="0" applyFont="1" applyFill="1" applyBorder="1" applyAlignment="1" applyProtection="1"/>
    <xf numFmtId="0" fontId="4" fillId="8" borderId="12" xfId="0" applyFont="1" applyFill="1" applyBorder="1" applyAlignment="1" applyProtection="1"/>
    <xf numFmtId="0" fontId="3" fillId="2" borderId="15" xfId="0" applyFont="1" applyFill="1" applyBorder="1" applyAlignment="1">
      <alignment horizontal="left" wrapText="1"/>
    </xf>
    <xf numFmtId="43" fontId="0" fillId="0" borderId="0" xfId="1" applyFont="1" applyAlignment="1">
      <alignment horizontal="center"/>
    </xf>
    <xf numFmtId="1" fontId="0" fillId="0" borderId="0" xfId="0" applyNumberFormat="1"/>
    <xf numFmtId="0" fontId="6" fillId="0" borderId="0" xfId="0" applyFont="1"/>
    <xf numFmtId="165" fontId="0" fillId="0" borderId="0" xfId="1" applyNumberFormat="1" applyFont="1"/>
    <xf numFmtId="0" fontId="2" fillId="2" borderId="0" xfId="0" applyFont="1" applyFill="1" applyAlignment="1">
      <alignment horizontal="center" wrapText="1"/>
    </xf>
    <xf numFmtId="0" fontId="4" fillId="0" borderId="11" xfId="0" applyFont="1" applyFill="1" applyBorder="1" applyAlignment="1" applyProtection="1"/>
    <xf numFmtId="0" fontId="2" fillId="2" borderId="14" xfId="0" applyFont="1" applyFill="1" applyBorder="1" applyAlignment="1">
      <alignment wrapText="1"/>
    </xf>
    <xf numFmtId="0" fontId="4" fillId="0" borderId="19" xfId="0" applyFont="1" applyBorder="1" applyAlignment="1" applyProtection="1"/>
    <xf numFmtId="0" fontId="4" fillId="0" borderId="20" xfId="0" applyFont="1" applyBorder="1" applyAlignment="1" applyProtection="1"/>
    <xf numFmtId="164" fontId="4" fillId="0" borderId="21" xfId="2" applyNumberFormat="1" applyFont="1" applyBorder="1" applyAlignment="1" applyProtection="1"/>
    <xf numFmtId="0" fontId="4" fillId="0" borderId="22" xfId="0" applyFont="1" applyBorder="1" applyAlignment="1" applyProtection="1"/>
    <xf numFmtId="164" fontId="4" fillId="0" borderId="23" xfId="2" applyNumberFormat="1" applyFont="1" applyBorder="1" applyAlignment="1" applyProtection="1"/>
    <xf numFmtId="0" fontId="4" fillId="0" borderId="24" xfId="0" applyFont="1" applyBorder="1" applyAlignment="1" applyProtection="1"/>
    <xf numFmtId="164" fontId="4" fillId="0" borderId="25" xfId="2" applyNumberFormat="1" applyFont="1" applyBorder="1" applyAlignment="1" applyProtection="1"/>
    <xf numFmtId="0" fontId="4" fillId="0" borderId="0" xfId="0" applyFont="1" applyBorder="1" applyAlignment="1" applyProtection="1"/>
    <xf numFmtId="9" fontId="0" fillId="0" borderId="0" xfId="2" applyFont="1"/>
    <xf numFmtId="0" fontId="0" fillId="5" borderId="0" xfId="0" applyFill="1"/>
    <xf numFmtId="0" fontId="0" fillId="10" borderId="0" xfId="0" applyFill="1"/>
    <xf numFmtId="0" fontId="0" fillId="9" borderId="0" xfId="0" applyFill="1"/>
    <xf numFmtId="0" fontId="0" fillId="7" borderId="0" xfId="0" applyFill="1"/>
    <xf numFmtId="0" fontId="0" fillId="8" borderId="0" xfId="0" applyFill="1"/>
    <xf numFmtId="0" fontId="2" fillId="5" borderId="6" xfId="0" applyFont="1" applyFill="1" applyBorder="1" applyAlignment="1">
      <alignment horizontal="left" wrapText="1"/>
    </xf>
    <xf numFmtId="166" fontId="0" fillId="0" borderId="0" xfId="0" applyNumberFormat="1"/>
    <xf numFmtId="2" fontId="0" fillId="0" borderId="0" xfId="0" applyNumberFormat="1"/>
    <xf numFmtId="43" fontId="8" fillId="0" borderId="12" xfId="1" applyFont="1" applyBorder="1" applyAlignment="1" applyProtection="1"/>
    <xf numFmtId="10" fontId="0" fillId="0" borderId="0" xfId="2" applyNumberFormat="1" applyFont="1"/>
    <xf numFmtId="0" fontId="2" fillId="2" borderId="10" xfId="0" applyFont="1" applyFill="1" applyBorder="1" applyAlignment="1">
      <alignment horizontal="right" wrapText="1"/>
    </xf>
    <xf numFmtId="0" fontId="2" fillId="2" borderId="9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horizontal="center"/>
    </xf>
    <xf numFmtId="43" fontId="0" fillId="0" borderId="0" xfId="0" applyNumberFormat="1"/>
    <xf numFmtId="0" fontId="2" fillId="2" borderId="0" xfId="0" applyFont="1" applyFill="1" applyAlignment="1">
      <alignment horizontal="center" wrapText="1"/>
    </xf>
    <xf numFmtId="0" fontId="9" fillId="0" borderId="0" xfId="0" applyFont="1"/>
    <xf numFmtId="0" fontId="10" fillId="0" borderId="0" xfId="0" applyFont="1"/>
    <xf numFmtId="0" fontId="3" fillId="2" borderId="0" xfId="0" applyFont="1" applyFill="1" applyBorder="1" applyAlignment="1">
      <alignment horizontal="left" wrapText="1"/>
    </xf>
    <xf numFmtId="0" fontId="2" fillId="2" borderId="0" xfId="0" applyFont="1" applyFill="1" applyAlignment="1">
      <alignment horizontal="right" wrapText="1"/>
    </xf>
    <xf numFmtId="0" fontId="11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3" fillId="5" borderId="0" xfId="0" applyFont="1" applyFill="1"/>
    <xf numFmtId="1" fontId="0" fillId="5" borderId="0" xfId="0" applyNumberFormat="1" applyFill="1"/>
    <xf numFmtId="0" fontId="2" fillId="2" borderId="0" xfId="0" applyFont="1" applyFill="1" applyAlignment="1">
      <alignment horizontal="right" wrapText="1"/>
    </xf>
    <xf numFmtId="164" fontId="0" fillId="11" borderId="0" xfId="2" applyNumberFormat="1" applyFont="1" applyFill="1"/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0" fillId="2" borderId="26" xfId="0" applyFill="1" applyBorder="1"/>
    <xf numFmtId="4" fontId="2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15" xfId="0" applyFont="1" applyFill="1" applyBorder="1" applyAlignment="1">
      <alignment horizontal="left" vertical="center" wrapText="1"/>
    </xf>
    <xf numFmtId="4" fontId="2" fillId="2" borderId="14" xfId="0" applyNumberFormat="1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right" wrapText="1"/>
    </xf>
    <xf numFmtId="0" fontId="2" fillId="2" borderId="1" xfId="0" applyFont="1" applyFill="1" applyBorder="1" applyAlignment="1">
      <alignment vertical="center" wrapText="1"/>
    </xf>
    <xf numFmtId="0" fontId="0" fillId="2" borderId="10" xfId="0" applyFill="1" applyBorder="1"/>
    <xf numFmtId="0" fontId="3" fillId="2" borderId="1" xfId="0" applyFont="1" applyFill="1" applyBorder="1" applyAlignment="1">
      <alignment horizontal="left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" fontId="0" fillId="0" borderId="0" xfId="0" applyNumberFormat="1"/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/>
    <xf numFmtId="0" fontId="2" fillId="2" borderId="0" xfId="0" applyFont="1" applyFill="1" applyBorder="1" applyAlignment="1"/>
    <xf numFmtId="49" fontId="0" fillId="12" borderId="28" xfId="0" applyNumberFormat="1" applyFont="1" applyFill="1" applyBorder="1"/>
    <xf numFmtId="0" fontId="0" fillId="12" borderId="28" xfId="0" applyFont="1" applyFill="1" applyBorder="1"/>
    <xf numFmtId="49" fontId="0" fillId="0" borderId="28" xfId="0" applyNumberFormat="1" applyFont="1" applyBorder="1"/>
    <xf numFmtId="0" fontId="0" fillId="0" borderId="28" xfId="0" applyFont="1" applyBorder="1"/>
    <xf numFmtId="0" fontId="12" fillId="13" borderId="28" xfId="0" applyFont="1" applyFill="1" applyBorder="1"/>
    <xf numFmtId="49" fontId="13" fillId="12" borderId="28" xfId="0" applyNumberFormat="1" applyFont="1" applyFill="1" applyBorder="1"/>
    <xf numFmtId="49" fontId="0" fillId="12" borderId="28" xfId="0" applyNumberFormat="1" applyFont="1" applyFill="1" applyBorder="1" applyAlignment="1">
      <alignment horizontal="left" indent="1"/>
    </xf>
    <xf numFmtId="49" fontId="0" fillId="12" borderId="28" xfId="0" applyNumberFormat="1" applyFont="1" applyFill="1" applyBorder="1" applyAlignment="1">
      <alignment horizontal="left" indent="2"/>
    </xf>
    <xf numFmtId="0" fontId="13" fillId="0" borderId="0" xfId="0" applyFont="1"/>
    <xf numFmtId="0" fontId="0" fillId="14" borderId="0" xfId="0" applyFill="1" applyAlignment="1">
      <alignment horizontal="left" indent="2"/>
    </xf>
    <xf numFmtId="0" fontId="0" fillId="14" borderId="0" xfId="0" applyFill="1" applyAlignment="1">
      <alignment horizontal="left" indent="1"/>
    </xf>
    <xf numFmtId="0" fontId="13" fillId="14" borderId="0" xfId="0" applyFont="1" applyFill="1"/>
    <xf numFmtId="166" fontId="13" fillId="0" borderId="0" xfId="0" applyNumberFormat="1" applyFont="1"/>
    <xf numFmtId="49" fontId="13" fillId="12" borderId="33" xfId="0" applyNumberFormat="1" applyFont="1" applyFill="1" applyBorder="1"/>
    <xf numFmtId="0" fontId="13" fillId="0" borderId="29" xfId="0" applyFont="1" applyBorder="1" applyAlignment="1">
      <alignment horizontal="center"/>
    </xf>
    <xf numFmtId="0" fontId="13" fillId="0" borderId="29" xfId="0" applyFont="1" applyBorder="1" applyAlignment="1">
      <alignment horizontal="center" vertical="center"/>
    </xf>
    <xf numFmtId="0" fontId="0" fillId="14" borderId="0" xfId="0" applyFill="1"/>
    <xf numFmtId="0" fontId="13" fillId="14" borderId="0" xfId="0" applyFont="1" applyFill="1" applyAlignment="1">
      <alignment horizontal="left" indent="1"/>
    </xf>
    <xf numFmtId="167" fontId="0" fillId="0" borderId="0" xfId="0" applyNumberFormat="1"/>
    <xf numFmtId="0" fontId="13" fillId="14" borderId="0" xfId="0" applyFont="1" applyFill="1" applyAlignment="1">
      <alignment horizontal="left"/>
    </xf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11" xfId="0" applyBorder="1"/>
    <xf numFmtId="2" fontId="0" fillId="0" borderId="36" xfId="0" applyNumberFormat="1" applyBorder="1" applyAlignment="1">
      <alignment horizontal="center"/>
    </xf>
    <xf numFmtId="166" fontId="0" fillId="0" borderId="36" xfId="0" applyNumberForma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4" xfId="0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0" fillId="0" borderId="36" xfId="0" applyBorder="1"/>
    <xf numFmtId="0" fontId="0" fillId="0" borderId="30" xfId="0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6" fontId="0" fillId="0" borderId="30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13" fillId="0" borderId="30" xfId="0" applyFont="1" applyBorder="1"/>
    <xf numFmtId="166" fontId="0" fillId="0" borderId="30" xfId="0" applyNumberFormat="1" applyBorder="1" applyAlignment="1">
      <alignment horizontal="center"/>
    </xf>
    <xf numFmtId="167" fontId="0" fillId="0" borderId="32" xfId="0" applyNumberFormat="1" applyBorder="1"/>
    <xf numFmtId="0" fontId="0" fillId="0" borderId="31" xfId="0" applyBorder="1"/>
    <xf numFmtId="0" fontId="0" fillId="0" borderId="36" xfId="0" applyBorder="1" applyAlignment="1">
      <alignment horizontal="center"/>
    </xf>
    <xf numFmtId="167" fontId="0" fillId="0" borderId="32" xfId="0" applyNumberFormat="1" applyBorder="1" applyAlignment="1">
      <alignment horizontal="center"/>
    </xf>
    <xf numFmtId="168" fontId="0" fillId="0" borderId="0" xfId="2" applyNumberFormat="1" applyFont="1"/>
    <xf numFmtId="168" fontId="0" fillId="0" borderId="0" xfId="0" applyNumberFormat="1"/>
    <xf numFmtId="10" fontId="0" fillId="0" borderId="0" xfId="0" applyNumberFormat="1"/>
    <xf numFmtId="2" fontId="0" fillId="0" borderId="3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44" fontId="0" fillId="0" borderId="0" xfId="3" applyFont="1"/>
    <xf numFmtId="2" fontId="0" fillId="0" borderId="35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0" fontId="12" fillId="13" borderId="38" xfId="0" applyFont="1" applyFill="1" applyBorder="1"/>
    <xf numFmtId="49" fontId="0" fillId="12" borderId="38" xfId="0" applyNumberFormat="1" applyFont="1" applyFill="1" applyBorder="1"/>
    <xf numFmtId="49" fontId="0" fillId="0" borderId="38" xfId="0" applyNumberFormat="1" applyFont="1" applyBorder="1"/>
    <xf numFmtId="0" fontId="12" fillId="15" borderId="0" xfId="0" applyFont="1" applyFill="1" applyBorder="1" applyAlignment="1">
      <alignment horizontal="center"/>
    </xf>
    <xf numFmtId="0" fontId="0" fillId="16" borderId="0" xfId="0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8" borderId="0" xfId="0" applyFill="1" applyAlignment="1">
      <alignment horizontal="left" indent="1"/>
    </xf>
    <xf numFmtId="0" fontId="0" fillId="9" borderId="0" xfId="0" applyFill="1" applyAlignment="1">
      <alignment horizontal="left" indent="1"/>
    </xf>
    <xf numFmtId="0" fontId="0" fillId="0" borderId="0" xfId="0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9" fontId="13" fillId="0" borderId="0" xfId="0" applyNumberFormat="1" applyFont="1" applyAlignment="1">
      <alignment horizontal="center" vertical="center"/>
    </xf>
    <xf numFmtId="169" fontId="13" fillId="0" borderId="0" xfId="2" applyNumberFormat="1" applyFont="1" applyAlignment="1">
      <alignment horizontal="center" vertical="center"/>
    </xf>
    <xf numFmtId="49" fontId="0" fillId="0" borderId="0" xfId="0" applyNumberFormat="1" applyFont="1" applyFill="1" applyBorder="1"/>
    <xf numFmtId="1" fontId="13" fillId="0" borderId="0" xfId="0" applyNumberFormat="1" applyFont="1"/>
    <xf numFmtId="0" fontId="13" fillId="0" borderId="30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66" fontId="0" fillId="0" borderId="3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0" fontId="13" fillId="0" borderId="31" xfId="0" applyFont="1" applyBorder="1" applyAlignment="1">
      <alignment horizontal="center"/>
    </xf>
    <xf numFmtId="17" fontId="13" fillId="0" borderId="34" xfId="0" applyNumberFormat="1" applyFont="1" applyBorder="1" applyAlignment="1">
      <alignment horizontal="center" vertical="center"/>
    </xf>
    <xf numFmtId="17" fontId="13" fillId="0" borderId="35" xfId="0" applyNumberFormat="1" applyFon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2" fillId="2" borderId="0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27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2" fontId="0" fillId="0" borderId="11" xfId="0" applyNumberFormat="1" applyBorder="1" applyAlignment="1">
      <alignment horizontal="center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6" tint="0.59999389629810485"/>
  </sheetPr>
  <dimension ref="A1:K172"/>
  <sheetViews>
    <sheetView workbookViewId="0">
      <selection activeCell="A89" sqref="A89"/>
    </sheetView>
  </sheetViews>
  <sheetFormatPr baseColWidth="10" defaultRowHeight="15" x14ac:dyDescent="0.25"/>
  <cols>
    <col min="1" max="1" width="75.28515625" bestFit="1" customWidth="1"/>
    <col min="2" max="2" width="14.5703125" bestFit="1" customWidth="1"/>
    <col min="3" max="3" width="10" bestFit="1" customWidth="1"/>
    <col min="4" max="4" width="38.5703125" bestFit="1" customWidth="1"/>
    <col min="5" max="5" width="11.5703125" bestFit="1" customWidth="1"/>
    <col min="6" max="6" width="6.7109375" bestFit="1" customWidth="1"/>
    <col min="7" max="7" width="11.5703125" bestFit="1" customWidth="1"/>
    <col min="8" max="8" width="20.140625" bestFit="1" customWidth="1"/>
    <col min="9" max="9" width="16.28515625" bestFit="1" customWidth="1"/>
    <col min="10" max="10" width="20.140625" bestFit="1" customWidth="1"/>
    <col min="11" max="11" width="16.28515625" bestFit="1" customWidth="1"/>
  </cols>
  <sheetData>
    <row r="1" spans="1:11" x14ac:dyDescent="0.25">
      <c r="A1" s="141" t="s">
        <v>253</v>
      </c>
      <c r="B1" s="141" t="s">
        <v>254</v>
      </c>
      <c r="C1" s="141" t="s">
        <v>255</v>
      </c>
      <c r="D1" s="141" t="s">
        <v>256</v>
      </c>
      <c r="E1" s="141" t="s">
        <v>257</v>
      </c>
      <c r="F1" s="141" t="s">
        <v>258</v>
      </c>
      <c r="G1" s="141" t="s">
        <v>259</v>
      </c>
      <c r="H1" s="141" t="s">
        <v>260</v>
      </c>
      <c r="I1" s="141" t="s">
        <v>261</v>
      </c>
      <c r="J1" s="141" t="s">
        <v>262</v>
      </c>
      <c r="K1" s="141" t="s">
        <v>263</v>
      </c>
    </row>
    <row r="2" spans="1:11" x14ac:dyDescent="0.25">
      <c r="A2" s="137" t="s">
        <v>264</v>
      </c>
      <c r="B2" s="137" t="s">
        <v>337</v>
      </c>
      <c r="C2" s="138">
        <v>1</v>
      </c>
      <c r="D2" s="137" t="s">
        <v>1</v>
      </c>
      <c r="E2" s="138">
        <v>98000000</v>
      </c>
      <c r="F2" s="137" t="s">
        <v>265</v>
      </c>
      <c r="G2" s="137" t="s">
        <v>131</v>
      </c>
      <c r="H2" s="138">
        <v>6410.57</v>
      </c>
      <c r="I2" s="138">
        <v>91.82</v>
      </c>
      <c r="J2" s="138">
        <v>33542.089999999997</v>
      </c>
      <c r="K2" s="138">
        <v>89.61</v>
      </c>
    </row>
    <row r="3" spans="1:11" x14ac:dyDescent="0.25">
      <c r="A3" s="139" t="s">
        <v>264</v>
      </c>
      <c r="B3" s="139" t="s">
        <v>337</v>
      </c>
      <c r="C3" s="140">
        <v>1</v>
      </c>
      <c r="D3" s="139" t="s">
        <v>1</v>
      </c>
      <c r="E3" s="140">
        <v>76240079</v>
      </c>
      <c r="F3" s="139" t="s">
        <v>266</v>
      </c>
      <c r="G3" s="139" t="s">
        <v>132</v>
      </c>
      <c r="H3" s="140">
        <v>9235.3700000000008</v>
      </c>
      <c r="I3" s="140">
        <v>88.47</v>
      </c>
      <c r="J3" s="140">
        <v>33542.089999999997</v>
      </c>
      <c r="K3" s="140">
        <v>89.61</v>
      </c>
    </row>
    <row r="4" spans="1:11" x14ac:dyDescent="0.25">
      <c r="A4" s="137" t="s">
        <v>264</v>
      </c>
      <c r="B4" s="137" t="s">
        <v>337</v>
      </c>
      <c r="C4" s="138">
        <v>1</v>
      </c>
      <c r="D4" s="137" t="s">
        <v>1</v>
      </c>
      <c r="E4" s="138">
        <v>98000100</v>
      </c>
      <c r="F4" s="137" t="s">
        <v>267</v>
      </c>
      <c r="G4" s="137" t="s">
        <v>133</v>
      </c>
      <c r="H4" s="138">
        <v>9367.44</v>
      </c>
      <c r="I4" s="138">
        <v>86.77</v>
      </c>
      <c r="J4" s="138">
        <v>33542.089999999997</v>
      </c>
      <c r="K4" s="138">
        <v>89.61</v>
      </c>
    </row>
    <row r="5" spans="1:11" x14ac:dyDescent="0.25">
      <c r="A5" s="139" t="s">
        <v>264</v>
      </c>
      <c r="B5" s="139" t="s">
        <v>337</v>
      </c>
      <c r="C5" s="140">
        <v>1</v>
      </c>
      <c r="D5" s="139" t="s">
        <v>1</v>
      </c>
      <c r="E5" s="140">
        <v>76762250</v>
      </c>
      <c r="F5" s="139" t="s">
        <v>268</v>
      </c>
      <c r="G5" s="139" t="s">
        <v>134</v>
      </c>
      <c r="H5" s="140">
        <v>939.96</v>
      </c>
      <c r="I5" s="140">
        <v>88.1</v>
      </c>
      <c r="J5" s="140">
        <v>33542.089999999997</v>
      </c>
      <c r="K5" s="140">
        <v>89.61</v>
      </c>
    </row>
    <row r="6" spans="1:11" x14ac:dyDescent="0.25">
      <c r="A6" s="137" t="s">
        <v>264</v>
      </c>
      <c r="B6" s="137" t="s">
        <v>337</v>
      </c>
      <c r="C6" s="138">
        <v>1</v>
      </c>
      <c r="D6" s="137" t="s">
        <v>1</v>
      </c>
      <c r="E6" s="138">
        <v>98001200</v>
      </c>
      <c r="F6" s="137" t="s">
        <v>269</v>
      </c>
      <c r="G6" s="137" t="s">
        <v>135</v>
      </c>
      <c r="H6" s="138">
        <v>1057.92</v>
      </c>
      <c r="I6" s="138">
        <v>91.2</v>
      </c>
      <c r="J6" s="138">
        <v>33542.089999999997</v>
      </c>
      <c r="K6" s="138">
        <v>89.61</v>
      </c>
    </row>
    <row r="7" spans="1:11" x14ac:dyDescent="0.25">
      <c r="A7" s="139" t="s">
        <v>264</v>
      </c>
      <c r="B7" s="139" t="s">
        <v>337</v>
      </c>
      <c r="C7" s="140">
        <v>1</v>
      </c>
      <c r="D7" s="139" t="s">
        <v>1</v>
      </c>
      <c r="E7" s="140">
        <v>76265736</v>
      </c>
      <c r="F7" s="139" t="s">
        <v>267</v>
      </c>
      <c r="G7" s="139" t="s">
        <v>136</v>
      </c>
      <c r="H7" s="140">
        <v>6530.84</v>
      </c>
      <c r="I7" s="140">
        <v>93.44</v>
      </c>
      <c r="J7" s="140">
        <v>33542.089999999997</v>
      </c>
      <c r="K7" s="140">
        <v>89.61</v>
      </c>
    </row>
    <row r="8" spans="1:11" x14ac:dyDescent="0.25">
      <c r="A8" s="137" t="s">
        <v>264</v>
      </c>
      <c r="B8" s="137" t="s">
        <v>337</v>
      </c>
      <c r="C8" s="138">
        <v>2</v>
      </c>
      <c r="D8" s="137" t="s">
        <v>270</v>
      </c>
      <c r="E8" s="138">
        <v>98000000</v>
      </c>
      <c r="F8" s="137" t="s">
        <v>265</v>
      </c>
      <c r="G8" s="137" t="s">
        <v>131</v>
      </c>
      <c r="H8" s="138">
        <v>91.97</v>
      </c>
      <c r="I8" s="138">
        <v>1.32</v>
      </c>
      <c r="J8" s="138">
        <v>405.37</v>
      </c>
      <c r="K8" s="138">
        <v>1.08</v>
      </c>
    </row>
    <row r="9" spans="1:11" x14ac:dyDescent="0.25">
      <c r="A9" s="139" t="s">
        <v>264</v>
      </c>
      <c r="B9" s="139" t="s">
        <v>337</v>
      </c>
      <c r="C9" s="140">
        <v>2</v>
      </c>
      <c r="D9" s="139" t="s">
        <v>270</v>
      </c>
      <c r="E9" s="140">
        <v>76240079</v>
      </c>
      <c r="F9" s="139" t="s">
        <v>266</v>
      </c>
      <c r="G9" s="139" t="s">
        <v>132</v>
      </c>
      <c r="H9" s="140">
        <v>103.01</v>
      </c>
      <c r="I9" s="140">
        <v>0.99</v>
      </c>
      <c r="J9" s="140">
        <v>405.37</v>
      </c>
      <c r="K9" s="140">
        <v>1.08</v>
      </c>
    </row>
    <row r="10" spans="1:11" x14ac:dyDescent="0.25">
      <c r="A10" s="137" t="s">
        <v>264</v>
      </c>
      <c r="B10" s="137" t="s">
        <v>337</v>
      </c>
      <c r="C10" s="138">
        <v>2</v>
      </c>
      <c r="D10" s="137" t="s">
        <v>270</v>
      </c>
      <c r="E10" s="138">
        <v>98000100</v>
      </c>
      <c r="F10" s="137" t="s">
        <v>267</v>
      </c>
      <c r="G10" s="137" t="s">
        <v>133</v>
      </c>
      <c r="H10" s="138">
        <v>113.9</v>
      </c>
      <c r="I10" s="138">
        <v>1.06</v>
      </c>
      <c r="J10" s="138">
        <v>405.37</v>
      </c>
      <c r="K10" s="138">
        <v>1.08</v>
      </c>
    </row>
    <row r="11" spans="1:11" x14ac:dyDescent="0.25">
      <c r="A11" s="139" t="s">
        <v>264</v>
      </c>
      <c r="B11" s="139" t="s">
        <v>337</v>
      </c>
      <c r="C11" s="140">
        <v>2</v>
      </c>
      <c r="D11" s="139" t="s">
        <v>270</v>
      </c>
      <c r="E11" s="140">
        <v>76762250</v>
      </c>
      <c r="F11" s="139" t="s">
        <v>268</v>
      </c>
      <c r="G11" s="139" t="s">
        <v>134</v>
      </c>
      <c r="H11" s="140">
        <v>11.77</v>
      </c>
      <c r="I11" s="140">
        <v>1.1000000000000001</v>
      </c>
      <c r="J11" s="140">
        <v>405.37</v>
      </c>
      <c r="K11" s="140">
        <v>1.08</v>
      </c>
    </row>
    <row r="12" spans="1:11" x14ac:dyDescent="0.25">
      <c r="A12" s="137" t="s">
        <v>264</v>
      </c>
      <c r="B12" s="137" t="s">
        <v>337</v>
      </c>
      <c r="C12" s="138">
        <v>2</v>
      </c>
      <c r="D12" s="137" t="s">
        <v>270</v>
      </c>
      <c r="E12" s="138">
        <v>98001200</v>
      </c>
      <c r="F12" s="137" t="s">
        <v>269</v>
      </c>
      <c r="G12" s="137" t="s">
        <v>135</v>
      </c>
      <c r="H12" s="138">
        <v>9.75</v>
      </c>
      <c r="I12" s="138">
        <v>0.84</v>
      </c>
      <c r="J12" s="138">
        <v>405.37</v>
      </c>
      <c r="K12" s="138">
        <v>1.08</v>
      </c>
    </row>
    <row r="13" spans="1:11" x14ac:dyDescent="0.25">
      <c r="A13" s="139" t="s">
        <v>264</v>
      </c>
      <c r="B13" s="139" t="s">
        <v>337</v>
      </c>
      <c r="C13" s="140">
        <v>2</v>
      </c>
      <c r="D13" s="139" t="s">
        <v>270</v>
      </c>
      <c r="E13" s="140">
        <v>76265736</v>
      </c>
      <c r="F13" s="139" t="s">
        <v>267</v>
      </c>
      <c r="G13" s="139" t="s">
        <v>136</v>
      </c>
      <c r="H13" s="140">
        <v>74.97</v>
      </c>
      <c r="I13" s="140">
        <v>1.07</v>
      </c>
      <c r="J13" s="140">
        <v>405.37</v>
      </c>
      <c r="K13" s="140">
        <v>1.08</v>
      </c>
    </row>
    <row r="14" spans="1:11" x14ac:dyDescent="0.25">
      <c r="A14" s="137" t="s">
        <v>264</v>
      </c>
      <c r="B14" s="137" t="s">
        <v>337</v>
      </c>
      <c r="C14" s="138">
        <v>3</v>
      </c>
      <c r="D14" s="137" t="s">
        <v>25</v>
      </c>
      <c r="E14" s="138">
        <v>98000000</v>
      </c>
      <c r="F14" s="137" t="s">
        <v>265</v>
      </c>
      <c r="G14" s="137" t="s">
        <v>131</v>
      </c>
      <c r="H14" s="138">
        <v>90.43</v>
      </c>
      <c r="I14" s="138">
        <v>1.3</v>
      </c>
      <c r="J14" s="138">
        <v>403.84</v>
      </c>
      <c r="K14" s="138">
        <v>1.08</v>
      </c>
    </row>
    <row r="15" spans="1:11" x14ac:dyDescent="0.25">
      <c r="A15" s="139" t="s">
        <v>264</v>
      </c>
      <c r="B15" s="139" t="s">
        <v>337</v>
      </c>
      <c r="C15" s="140">
        <v>3</v>
      </c>
      <c r="D15" s="139" t="s">
        <v>25</v>
      </c>
      <c r="E15" s="140">
        <v>76240079</v>
      </c>
      <c r="F15" s="139" t="s">
        <v>266</v>
      </c>
      <c r="G15" s="139" t="s">
        <v>132</v>
      </c>
      <c r="H15" s="140">
        <v>103.01</v>
      </c>
      <c r="I15" s="140">
        <v>0.99</v>
      </c>
      <c r="J15" s="140">
        <v>403.84</v>
      </c>
      <c r="K15" s="140">
        <v>1.08</v>
      </c>
    </row>
    <row r="16" spans="1:11" x14ac:dyDescent="0.25">
      <c r="A16" s="137" t="s">
        <v>264</v>
      </c>
      <c r="B16" s="137" t="s">
        <v>337</v>
      </c>
      <c r="C16" s="138">
        <v>3</v>
      </c>
      <c r="D16" s="137" t="s">
        <v>25</v>
      </c>
      <c r="E16" s="138">
        <v>98000100</v>
      </c>
      <c r="F16" s="137" t="s">
        <v>267</v>
      </c>
      <c r="G16" s="137" t="s">
        <v>133</v>
      </c>
      <c r="H16" s="138">
        <v>113.9</v>
      </c>
      <c r="I16" s="138">
        <v>1.06</v>
      </c>
      <c r="J16" s="138">
        <v>403.84</v>
      </c>
      <c r="K16" s="138">
        <v>1.08</v>
      </c>
    </row>
    <row r="17" spans="1:11" x14ac:dyDescent="0.25">
      <c r="A17" s="139" t="s">
        <v>264</v>
      </c>
      <c r="B17" s="139" t="s">
        <v>337</v>
      </c>
      <c r="C17" s="140">
        <v>3</v>
      </c>
      <c r="D17" s="139" t="s">
        <v>25</v>
      </c>
      <c r="E17" s="140">
        <v>76762250</v>
      </c>
      <c r="F17" s="139" t="s">
        <v>268</v>
      </c>
      <c r="G17" s="139" t="s">
        <v>134</v>
      </c>
      <c r="H17" s="140">
        <v>11.77</v>
      </c>
      <c r="I17" s="140">
        <v>1.1000000000000001</v>
      </c>
      <c r="J17" s="140">
        <v>403.84</v>
      </c>
      <c r="K17" s="140">
        <v>1.08</v>
      </c>
    </row>
    <row r="18" spans="1:11" x14ac:dyDescent="0.25">
      <c r="A18" s="137" t="s">
        <v>264</v>
      </c>
      <c r="B18" s="137" t="s">
        <v>337</v>
      </c>
      <c r="C18" s="138">
        <v>3</v>
      </c>
      <c r="D18" s="137" t="s">
        <v>25</v>
      </c>
      <c r="E18" s="138">
        <v>98001200</v>
      </c>
      <c r="F18" s="137" t="s">
        <v>269</v>
      </c>
      <c r="G18" s="137" t="s">
        <v>135</v>
      </c>
      <c r="H18" s="138">
        <v>9.75</v>
      </c>
      <c r="I18" s="138">
        <v>0.84</v>
      </c>
      <c r="J18" s="138">
        <v>403.84</v>
      </c>
      <c r="K18" s="138">
        <v>1.08</v>
      </c>
    </row>
    <row r="19" spans="1:11" x14ac:dyDescent="0.25">
      <c r="A19" s="139" t="s">
        <v>264</v>
      </c>
      <c r="B19" s="139" t="s">
        <v>337</v>
      </c>
      <c r="C19" s="140">
        <v>3</v>
      </c>
      <c r="D19" s="139" t="s">
        <v>25</v>
      </c>
      <c r="E19" s="140">
        <v>76265736</v>
      </c>
      <c r="F19" s="139" t="s">
        <v>267</v>
      </c>
      <c r="G19" s="139" t="s">
        <v>136</v>
      </c>
      <c r="H19" s="140">
        <v>74.97</v>
      </c>
      <c r="I19" s="140">
        <v>1.07</v>
      </c>
      <c r="J19" s="140">
        <v>403.84</v>
      </c>
      <c r="K19" s="140">
        <v>1.08</v>
      </c>
    </row>
    <row r="20" spans="1:11" x14ac:dyDescent="0.25">
      <c r="A20" s="137" t="s">
        <v>264</v>
      </c>
      <c r="B20" s="137" t="s">
        <v>337</v>
      </c>
      <c r="C20" s="138">
        <v>4</v>
      </c>
      <c r="D20" s="137" t="s">
        <v>271</v>
      </c>
      <c r="E20" s="138">
        <v>98000000</v>
      </c>
      <c r="F20" s="137" t="s">
        <v>265</v>
      </c>
      <c r="G20" s="137" t="s">
        <v>131</v>
      </c>
      <c r="H20" s="138">
        <v>1.53</v>
      </c>
      <c r="I20" s="138">
        <v>0.02</v>
      </c>
      <c r="J20" s="138">
        <v>1.53</v>
      </c>
      <c r="K20" s="138">
        <v>0</v>
      </c>
    </row>
    <row r="21" spans="1:11" x14ac:dyDescent="0.25">
      <c r="A21" s="139" t="s">
        <v>264</v>
      </c>
      <c r="B21" s="139" t="s">
        <v>337</v>
      </c>
      <c r="C21" s="140">
        <v>4</v>
      </c>
      <c r="D21" s="139" t="s">
        <v>271</v>
      </c>
      <c r="E21" s="140">
        <v>76240079</v>
      </c>
      <c r="F21" s="139" t="s">
        <v>266</v>
      </c>
      <c r="G21" s="139" t="s">
        <v>132</v>
      </c>
      <c r="H21" s="140"/>
      <c r="I21" s="140"/>
      <c r="J21" s="140">
        <v>1.53</v>
      </c>
      <c r="K21" s="140">
        <v>0</v>
      </c>
    </row>
    <row r="22" spans="1:11" x14ac:dyDescent="0.25">
      <c r="A22" s="137" t="s">
        <v>264</v>
      </c>
      <c r="B22" s="137" t="s">
        <v>337</v>
      </c>
      <c r="C22" s="138">
        <v>4</v>
      </c>
      <c r="D22" s="137" t="s">
        <v>271</v>
      </c>
      <c r="E22" s="138">
        <v>98000100</v>
      </c>
      <c r="F22" s="137" t="s">
        <v>267</v>
      </c>
      <c r="G22" s="137" t="s">
        <v>133</v>
      </c>
      <c r="H22" s="138"/>
      <c r="I22" s="138"/>
      <c r="J22" s="138">
        <v>1.53</v>
      </c>
      <c r="K22" s="138">
        <v>0</v>
      </c>
    </row>
    <row r="23" spans="1:11" x14ac:dyDescent="0.25">
      <c r="A23" s="139" t="s">
        <v>264</v>
      </c>
      <c r="B23" s="139" t="s">
        <v>337</v>
      </c>
      <c r="C23" s="140">
        <v>4</v>
      </c>
      <c r="D23" s="139" t="s">
        <v>271</v>
      </c>
      <c r="E23" s="140">
        <v>76762250</v>
      </c>
      <c r="F23" s="139" t="s">
        <v>268</v>
      </c>
      <c r="G23" s="139" t="s">
        <v>134</v>
      </c>
      <c r="H23" s="140"/>
      <c r="I23" s="140"/>
      <c r="J23" s="140">
        <v>1.53</v>
      </c>
      <c r="K23" s="140">
        <v>0</v>
      </c>
    </row>
    <row r="24" spans="1:11" x14ac:dyDescent="0.25">
      <c r="A24" s="137" t="s">
        <v>264</v>
      </c>
      <c r="B24" s="137" t="s">
        <v>337</v>
      </c>
      <c r="C24" s="138">
        <v>4</v>
      </c>
      <c r="D24" s="137" t="s">
        <v>271</v>
      </c>
      <c r="E24" s="138">
        <v>98001200</v>
      </c>
      <c r="F24" s="137" t="s">
        <v>269</v>
      </c>
      <c r="G24" s="137" t="s">
        <v>135</v>
      </c>
      <c r="H24" s="138"/>
      <c r="I24" s="138"/>
      <c r="J24" s="138">
        <v>1.53</v>
      </c>
      <c r="K24" s="138">
        <v>0</v>
      </c>
    </row>
    <row r="25" spans="1:11" x14ac:dyDescent="0.25">
      <c r="A25" s="139" t="s">
        <v>264</v>
      </c>
      <c r="B25" s="139" t="s">
        <v>337</v>
      </c>
      <c r="C25" s="140">
        <v>4</v>
      </c>
      <c r="D25" s="139" t="s">
        <v>271</v>
      </c>
      <c r="E25" s="140">
        <v>76265736</v>
      </c>
      <c r="F25" s="139" t="s">
        <v>267</v>
      </c>
      <c r="G25" s="139" t="s">
        <v>136</v>
      </c>
      <c r="H25" s="140"/>
      <c r="I25" s="140"/>
      <c r="J25" s="140">
        <v>1.53</v>
      </c>
      <c r="K25" s="140">
        <v>0</v>
      </c>
    </row>
    <row r="26" spans="1:11" x14ac:dyDescent="0.25">
      <c r="A26" s="137" t="s">
        <v>264</v>
      </c>
      <c r="B26" s="137" t="s">
        <v>337</v>
      </c>
      <c r="C26" s="138">
        <v>5</v>
      </c>
      <c r="D26" s="137" t="s">
        <v>272</v>
      </c>
      <c r="E26" s="138">
        <v>98000000</v>
      </c>
      <c r="F26" s="137" t="s">
        <v>265</v>
      </c>
      <c r="G26" s="137" t="s">
        <v>131</v>
      </c>
      <c r="H26" s="138">
        <v>6315.01</v>
      </c>
      <c r="I26" s="138">
        <v>90.45</v>
      </c>
      <c r="J26" s="138">
        <v>33062.18</v>
      </c>
      <c r="K26" s="138">
        <v>88.32</v>
      </c>
    </row>
    <row r="27" spans="1:11" x14ac:dyDescent="0.25">
      <c r="A27" s="139" t="s">
        <v>264</v>
      </c>
      <c r="B27" s="139" t="s">
        <v>337</v>
      </c>
      <c r="C27" s="140">
        <v>5</v>
      </c>
      <c r="D27" s="139" t="s">
        <v>272</v>
      </c>
      <c r="E27" s="140">
        <v>76240079</v>
      </c>
      <c r="F27" s="139" t="s">
        <v>266</v>
      </c>
      <c r="G27" s="139" t="s">
        <v>132</v>
      </c>
      <c r="H27" s="140">
        <v>9112.51</v>
      </c>
      <c r="I27" s="140">
        <v>87.29</v>
      </c>
      <c r="J27" s="140">
        <v>33062.18</v>
      </c>
      <c r="K27" s="140">
        <v>88.32</v>
      </c>
    </row>
    <row r="28" spans="1:11" x14ac:dyDescent="0.25">
      <c r="A28" s="137" t="s">
        <v>264</v>
      </c>
      <c r="B28" s="137" t="s">
        <v>337</v>
      </c>
      <c r="C28" s="138">
        <v>5</v>
      </c>
      <c r="D28" s="137" t="s">
        <v>272</v>
      </c>
      <c r="E28" s="138">
        <v>98000100</v>
      </c>
      <c r="F28" s="137" t="s">
        <v>267</v>
      </c>
      <c r="G28" s="137" t="s">
        <v>133</v>
      </c>
      <c r="H28" s="138">
        <v>9215</v>
      </c>
      <c r="I28" s="138">
        <v>85.36</v>
      </c>
      <c r="J28" s="138">
        <v>33062.18</v>
      </c>
      <c r="K28" s="138">
        <v>88.32</v>
      </c>
    </row>
    <row r="29" spans="1:11" x14ac:dyDescent="0.25">
      <c r="A29" s="139" t="s">
        <v>264</v>
      </c>
      <c r="B29" s="139" t="s">
        <v>337</v>
      </c>
      <c r="C29" s="140">
        <v>5</v>
      </c>
      <c r="D29" s="139" t="s">
        <v>272</v>
      </c>
      <c r="E29" s="140">
        <v>76762250</v>
      </c>
      <c r="F29" s="139" t="s">
        <v>268</v>
      </c>
      <c r="G29" s="139" t="s">
        <v>134</v>
      </c>
      <c r="H29" s="140">
        <v>927.74</v>
      </c>
      <c r="I29" s="140">
        <v>86.96</v>
      </c>
      <c r="J29" s="140">
        <v>33062.18</v>
      </c>
      <c r="K29" s="140">
        <v>88.32</v>
      </c>
    </row>
    <row r="30" spans="1:11" x14ac:dyDescent="0.25">
      <c r="A30" s="137" t="s">
        <v>264</v>
      </c>
      <c r="B30" s="137" t="s">
        <v>337</v>
      </c>
      <c r="C30" s="138">
        <v>5</v>
      </c>
      <c r="D30" s="137" t="s">
        <v>272</v>
      </c>
      <c r="E30" s="138">
        <v>98001200</v>
      </c>
      <c r="F30" s="137" t="s">
        <v>269</v>
      </c>
      <c r="G30" s="137" t="s">
        <v>135</v>
      </c>
      <c r="H30" s="138">
        <v>1047.31</v>
      </c>
      <c r="I30" s="138">
        <v>90.29</v>
      </c>
      <c r="J30" s="138">
        <v>33062.18</v>
      </c>
      <c r="K30" s="138">
        <v>88.32</v>
      </c>
    </row>
    <row r="31" spans="1:11" x14ac:dyDescent="0.25">
      <c r="A31" s="139" t="s">
        <v>264</v>
      </c>
      <c r="B31" s="139" t="s">
        <v>337</v>
      </c>
      <c r="C31" s="140">
        <v>5</v>
      </c>
      <c r="D31" s="139" t="s">
        <v>272</v>
      </c>
      <c r="E31" s="140">
        <v>76265736</v>
      </c>
      <c r="F31" s="139" t="s">
        <v>267</v>
      </c>
      <c r="G31" s="139" t="s">
        <v>136</v>
      </c>
      <c r="H31" s="140">
        <v>6444.6</v>
      </c>
      <c r="I31" s="140">
        <v>92.21</v>
      </c>
      <c r="J31" s="140">
        <v>33062.18</v>
      </c>
      <c r="K31" s="140">
        <v>88.32</v>
      </c>
    </row>
    <row r="32" spans="1:11" x14ac:dyDescent="0.25">
      <c r="A32" s="137" t="s">
        <v>264</v>
      </c>
      <c r="B32" s="137" t="s">
        <v>337</v>
      </c>
      <c r="C32" s="138">
        <v>6</v>
      </c>
      <c r="D32" s="137" t="s">
        <v>273</v>
      </c>
      <c r="E32" s="138">
        <v>98000000</v>
      </c>
      <c r="F32" s="137" t="s">
        <v>265</v>
      </c>
      <c r="G32" s="137" t="s">
        <v>131</v>
      </c>
      <c r="H32" s="138">
        <v>703.38</v>
      </c>
      <c r="I32" s="138">
        <v>10.07</v>
      </c>
      <c r="J32" s="138">
        <v>3997.96</v>
      </c>
      <c r="K32" s="138">
        <v>10.68</v>
      </c>
    </row>
    <row r="33" spans="1:11" x14ac:dyDescent="0.25">
      <c r="A33" s="139" t="s">
        <v>264</v>
      </c>
      <c r="B33" s="139" t="s">
        <v>337</v>
      </c>
      <c r="C33" s="140">
        <v>6</v>
      </c>
      <c r="D33" s="139" t="s">
        <v>273</v>
      </c>
      <c r="E33" s="140">
        <v>76240079</v>
      </c>
      <c r="F33" s="139" t="s">
        <v>266</v>
      </c>
      <c r="G33" s="139" t="s">
        <v>132</v>
      </c>
      <c r="H33" s="140">
        <v>1703.49</v>
      </c>
      <c r="I33" s="140">
        <v>16.32</v>
      </c>
      <c r="J33" s="140">
        <v>3997.96</v>
      </c>
      <c r="K33" s="140">
        <v>10.68</v>
      </c>
    </row>
    <row r="34" spans="1:11" x14ac:dyDescent="0.25">
      <c r="A34" s="137" t="s">
        <v>264</v>
      </c>
      <c r="B34" s="137" t="s">
        <v>337</v>
      </c>
      <c r="C34" s="138">
        <v>6</v>
      </c>
      <c r="D34" s="137" t="s">
        <v>273</v>
      </c>
      <c r="E34" s="138">
        <v>98000100</v>
      </c>
      <c r="F34" s="137" t="s">
        <v>267</v>
      </c>
      <c r="G34" s="137" t="s">
        <v>133</v>
      </c>
      <c r="H34" s="138">
        <v>621.4</v>
      </c>
      <c r="I34" s="138">
        <v>5.76</v>
      </c>
      <c r="J34" s="138">
        <v>3997.96</v>
      </c>
      <c r="K34" s="138">
        <v>10.68</v>
      </c>
    </row>
    <row r="35" spans="1:11" x14ac:dyDescent="0.25">
      <c r="A35" s="139" t="s">
        <v>264</v>
      </c>
      <c r="B35" s="139" t="s">
        <v>337</v>
      </c>
      <c r="C35" s="140">
        <v>6</v>
      </c>
      <c r="D35" s="139" t="s">
        <v>273</v>
      </c>
      <c r="E35" s="140">
        <v>76762250</v>
      </c>
      <c r="F35" s="139" t="s">
        <v>268</v>
      </c>
      <c r="G35" s="139" t="s">
        <v>134</v>
      </c>
      <c r="H35" s="140">
        <v>294.3</v>
      </c>
      <c r="I35" s="140">
        <v>27.59</v>
      </c>
      <c r="J35" s="140">
        <v>3997.96</v>
      </c>
      <c r="K35" s="140">
        <v>10.68</v>
      </c>
    </row>
    <row r="36" spans="1:11" x14ac:dyDescent="0.25">
      <c r="A36" s="137" t="s">
        <v>264</v>
      </c>
      <c r="B36" s="137" t="s">
        <v>337</v>
      </c>
      <c r="C36" s="138">
        <v>6</v>
      </c>
      <c r="D36" s="137" t="s">
        <v>273</v>
      </c>
      <c r="E36" s="138">
        <v>98001200</v>
      </c>
      <c r="F36" s="137" t="s">
        <v>269</v>
      </c>
      <c r="G36" s="137" t="s">
        <v>135</v>
      </c>
      <c r="H36" s="138">
        <v>71.66</v>
      </c>
      <c r="I36" s="138">
        <v>6.18</v>
      </c>
      <c r="J36" s="138">
        <v>3997.96</v>
      </c>
      <c r="K36" s="138">
        <v>10.68</v>
      </c>
    </row>
    <row r="37" spans="1:11" x14ac:dyDescent="0.25">
      <c r="A37" s="139" t="s">
        <v>264</v>
      </c>
      <c r="B37" s="139" t="s">
        <v>337</v>
      </c>
      <c r="C37" s="140">
        <v>6</v>
      </c>
      <c r="D37" s="139" t="s">
        <v>273</v>
      </c>
      <c r="E37" s="140">
        <v>76265736</v>
      </c>
      <c r="F37" s="139" t="s">
        <v>267</v>
      </c>
      <c r="G37" s="139" t="s">
        <v>136</v>
      </c>
      <c r="H37" s="140">
        <v>603.73</v>
      </c>
      <c r="I37" s="140">
        <v>8.64</v>
      </c>
      <c r="J37" s="140">
        <v>3997.96</v>
      </c>
      <c r="K37" s="140">
        <v>10.68</v>
      </c>
    </row>
    <row r="38" spans="1:11" x14ac:dyDescent="0.25">
      <c r="A38" s="137" t="s">
        <v>264</v>
      </c>
      <c r="B38" s="137" t="s">
        <v>337</v>
      </c>
      <c r="C38" s="138">
        <v>7</v>
      </c>
      <c r="D38" s="137" t="s">
        <v>274</v>
      </c>
      <c r="E38" s="138">
        <v>98000000</v>
      </c>
      <c r="F38" s="137" t="s">
        <v>265</v>
      </c>
      <c r="G38" s="137" t="s">
        <v>131</v>
      </c>
      <c r="H38" s="138">
        <v>2233.06</v>
      </c>
      <c r="I38" s="138">
        <v>31.98</v>
      </c>
      <c r="J38" s="138">
        <v>12126.83</v>
      </c>
      <c r="K38" s="138">
        <v>32.4</v>
      </c>
    </row>
    <row r="39" spans="1:11" x14ac:dyDescent="0.25">
      <c r="A39" s="139" t="s">
        <v>264</v>
      </c>
      <c r="B39" s="139" t="s">
        <v>337</v>
      </c>
      <c r="C39" s="140">
        <v>7</v>
      </c>
      <c r="D39" s="139" t="s">
        <v>274</v>
      </c>
      <c r="E39" s="140">
        <v>76240079</v>
      </c>
      <c r="F39" s="139" t="s">
        <v>266</v>
      </c>
      <c r="G39" s="139" t="s">
        <v>132</v>
      </c>
      <c r="H39" s="140">
        <v>3222.79</v>
      </c>
      <c r="I39" s="140">
        <v>30.87</v>
      </c>
      <c r="J39" s="140">
        <v>12126.83</v>
      </c>
      <c r="K39" s="140">
        <v>32.4</v>
      </c>
    </row>
    <row r="40" spans="1:11" x14ac:dyDescent="0.25">
      <c r="A40" s="137" t="s">
        <v>264</v>
      </c>
      <c r="B40" s="137" t="s">
        <v>337</v>
      </c>
      <c r="C40" s="138">
        <v>7</v>
      </c>
      <c r="D40" s="137" t="s">
        <v>274</v>
      </c>
      <c r="E40" s="138">
        <v>98000100</v>
      </c>
      <c r="F40" s="137" t="s">
        <v>267</v>
      </c>
      <c r="G40" s="137" t="s">
        <v>133</v>
      </c>
      <c r="H40" s="138">
        <v>3225.46</v>
      </c>
      <c r="I40" s="138">
        <v>29.88</v>
      </c>
      <c r="J40" s="138">
        <v>12126.83</v>
      </c>
      <c r="K40" s="138">
        <v>32.4</v>
      </c>
    </row>
    <row r="41" spans="1:11" x14ac:dyDescent="0.25">
      <c r="A41" s="139" t="s">
        <v>264</v>
      </c>
      <c r="B41" s="139" t="s">
        <v>337</v>
      </c>
      <c r="C41" s="140">
        <v>7</v>
      </c>
      <c r="D41" s="139" t="s">
        <v>274</v>
      </c>
      <c r="E41" s="140">
        <v>76762250</v>
      </c>
      <c r="F41" s="139" t="s">
        <v>268</v>
      </c>
      <c r="G41" s="139" t="s">
        <v>134</v>
      </c>
      <c r="H41" s="140">
        <v>249.08</v>
      </c>
      <c r="I41" s="140">
        <v>23.35</v>
      </c>
      <c r="J41" s="140">
        <v>12126.83</v>
      </c>
      <c r="K41" s="140">
        <v>32.4</v>
      </c>
    </row>
    <row r="42" spans="1:11" x14ac:dyDescent="0.25">
      <c r="A42" s="137" t="s">
        <v>264</v>
      </c>
      <c r="B42" s="137" t="s">
        <v>337</v>
      </c>
      <c r="C42" s="138">
        <v>7</v>
      </c>
      <c r="D42" s="137" t="s">
        <v>274</v>
      </c>
      <c r="E42" s="138">
        <v>98001200</v>
      </c>
      <c r="F42" s="137" t="s">
        <v>269</v>
      </c>
      <c r="G42" s="137" t="s">
        <v>135</v>
      </c>
      <c r="H42" s="138">
        <v>365.33</v>
      </c>
      <c r="I42" s="138">
        <v>31.49</v>
      </c>
      <c r="J42" s="138">
        <v>12126.83</v>
      </c>
      <c r="K42" s="138">
        <v>32.4</v>
      </c>
    </row>
    <row r="43" spans="1:11" x14ac:dyDescent="0.25">
      <c r="A43" s="139" t="s">
        <v>264</v>
      </c>
      <c r="B43" s="139" t="s">
        <v>337</v>
      </c>
      <c r="C43" s="140">
        <v>7</v>
      </c>
      <c r="D43" s="139" t="s">
        <v>274</v>
      </c>
      <c r="E43" s="140">
        <v>76265736</v>
      </c>
      <c r="F43" s="139" t="s">
        <v>267</v>
      </c>
      <c r="G43" s="139" t="s">
        <v>136</v>
      </c>
      <c r="H43" s="140">
        <v>2831.12</v>
      </c>
      <c r="I43" s="140">
        <v>40.51</v>
      </c>
      <c r="J43" s="140">
        <v>12126.83</v>
      </c>
      <c r="K43" s="140">
        <v>32.4</v>
      </c>
    </row>
    <row r="44" spans="1:11" x14ac:dyDescent="0.25">
      <c r="A44" s="137" t="s">
        <v>264</v>
      </c>
      <c r="B44" s="137" t="s">
        <v>337</v>
      </c>
      <c r="C44" s="138">
        <v>8</v>
      </c>
      <c r="D44" s="137" t="s">
        <v>275</v>
      </c>
      <c r="E44" s="138">
        <v>98000000</v>
      </c>
      <c r="F44" s="137" t="s">
        <v>265</v>
      </c>
      <c r="G44" s="137" t="s">
        <v>131</v>
      </c>
      <c r="H44" s="138">
        <v>0.45</v>
      </c>
      <c r="I44" s="138">
        <v>0.01</v>
      </c>
      <c r="J44" s="138">
        <v>63.52</v>
      </c>
      <c r="K44" s="138">
        <v>0.17</v>
      </c>
    </row>
    <row r="45" spans="1:11" x14ac:dyDescent="0.25">
      <c r="A45" s="139" t="s">
        <v>264</v>
      </c>
      <c r="B45" s="139" t="s">
        <v>337</v>
      </c>
      <c r="C45" s="140">
        <v>8</v>
      </c>
      <c r="D45" s="139" t="s">
        <v>275</v>
      </c>
      <c r="E45" s="140">
        <v>76240079</v>
      </c>
      <c r="F45" s="139" t="s">
        <v>266</v>
      </c>
      <c r="G45" s="139" t="s">
        <v>132</v>
      </c>
      <c r="H45" s="140">
        <v>26.63</v>
      </c>
      <c r="I45" s="140">
        <v>0.26</v>
      </c>
      <c r="J45" s="140">
        <v>63.52</v>
      </c>
      <c r="K45" s="140">
        <v>0.17</v>
      </c>
    </row>
    <row r="46" spans="1:11" x14ac:dyDescent="0.25">
      <c r="A46" s="137" t="s">
        <v>264</v>
      </c>
      <c r="B46" s="137" t="s">
        <v>337</v>
      </c>
      <c r="C46" s="138">
        <v>8</v>
      </c>
      <c r="D46" s="137" t="s">
        <v>275</v>
      </c>
      <c r="E46" s="138">
        <v>98000100</v>
      </c>
      <c r="F46" s="137" t="s">
        <v>267</v>
      </c>
      <c r="G46" s="137" t="s">
        <v>133</v>
      </c>
      <c r="H46" s="138"/>
      <c r="I46" s="138"/>
      <c r="J46" s="138">
        <v>63.52</v>
      </c>
      <c r="K46" s="138">
        <v>0.17</v>
      </c>
    </row>
    <row r="47" spans="1:11" x14ac:dyDescent="0.25">
      <c r="A47" s="139" t="s">
        <v>264</v>
      </c>
      <c r="B47" s="139" t="s">
        <v>337</v>
      </c>
      <c r="C47" s="140">
        <v>8</v>
      </c>
      <c r="D47" s="139" t="s">
        <v>275</v>
      </c>
      <c r="E47" s="140">
        <v>76762250</v>
      </c>
      <c r="F47" s="139" t="s">
        <v>268</v>
      </c>
      <c r="G47" s="139" t="s">
        <v>134</v>
      </c>
      <c r="H47" s="140">
        <v>33.56</v>
      </c>
      <c r="I47" s="140">
        <v>3.15</v>
      </c>
      <c r="J47" s="140">
        <v>63.52</v>
      </c>
      <c r="K47" s="140">
        <v>0.17</v>
      </c>
    </row>
    <row r="48" spans="1:11" x14ac:dyDescent="0.25">
      <c r="A48" s="137" t="s">
        <v>264</v>
      </c>
      <c r="B48" s="137" t="s">
        <v>337</v>
      </c>
      <c r="C48" s="138">
        <v>8</v>
      </c>
      <c r="D48" s="137" t="s">
        <v>275</v>
      </c>
      <c r="E48" s="138">
        <v>98001200</v>
      </c>
      <c r="F48" s="137" t="s">
        <v>269</v>
      </c>
      <c r="G48" s="137" t="s">
        <v>135</v>
      </c>
      <c r="H48" s="138">
        <v>0.9</v>
      </c>
      <c r="I48" s="138">
        <v>0.08</v>
      </c>
      <c r="J48" s="138">
        <v>63.52</v>
      </c>
      <c r="K48" s="138">
        <v>0.17</v>
      </c>
    </row>
    <row r="49" spans="1:11" x14ac:dyDescent="0.25">
      <c r="A49" s="139" t="s">
        <v>264</v>
      </c>
      <c r="B49" s="139" t="s">
        <v>337</v>
      </c>
      <c r="C49" s="140">
        <v>8</v>
      </c>
      <c r="D49" s="139" t="s">
        <v>275</v>
      </c>
      <c r="E49" s="140">
        <v>76265736</v>
      </c>
      <c r="F49" s="139" t="s">
        <v>267</v>
      </c>
      <c r="G49" s="139" t="s">
        <v>136</v>
      </c>
      <c r="H49" s="140">
        <v>1.99</v>
      </c>
      <c r="I49" s="140">
        <v>0.03</v>
      </c>
      <c r="J49" s="140">
        <v>63.52</v>
      </c>
      <c r="K49" s="140">
        <v>0.17</v>
      </c>
    </row>
    <row r="50" spans="1:11" x14ac:dyDescent="0.25">
      <c r="A50" s="137" t="s">
        <v>264</v>
      </c>
      <c r="B50" s="137" t="s">
        <v>337</v>
      </c>
      <c r="C50" s="138">
        <v>9</v>
      </c>
      <c r="D50" s="137" t="s">
        <v>276</v>
      </c>
      <c r="E50" s="138">
        <v>98000000</v>
      </c>
      <c r="F50" s="137" t="s">
        <v>265</v>
      </c>
      <c r="G50" s="137" t="s">
        <v>131</v>
      </c>
      <c r="H50" s="138">
        <v>619.46</v>
      </c>
      <c r="I50" s="138">
        <v>8.8699999999999992</v>
      </c>
      <c r="J50" s="138">
        <v>2683.9</v>
      </c>
      <c r="K50" s="138">
        <v>7.17</v>
      </c>
    </row>
    <row r="51" spans="1:11" x14ac:dyDescent="0.25">
      <c r="A51" s="139" t="s">
        <v>264</v>
      </c>
      <c r="B51" s="139" t="s">
        <v>337</v>
      </c>
      <c r="C51" s="140">
        <v>9</v>
      </c>
      <c r="D51" s="139" t="s">
        <v>276</v>
      </c>
      <c r="E51" s="140">
        <v>76240079</v>
      </c>
      <c r="F51" s="139" t="s">
        <v>266</v>
      </c>
      <c r="G51" s="139" t="s">
        <v>132</v>
      </c>
      <c r="H51" s="140">
        <v>593.63</v>
      </c>
      <c r="I51" s="140">
        <v>5.69</v>
      </c>
      <c r="J51" s="140">
        <v>2683.9</v>
      </c>
      <c r="K51" s="140">
        <v>7.17</v>
      </c>
    </row>
    <row r="52" spans="1:11" x14ac:dyDescent="0.25">
      <c r="A52" s="137" t="s">
        <v>264</v>
      </c>
      <c r="B52" s="137" t="s">
        <v>337</v>
      </c>
      <c r="C52" s="138">
        <v>9</v>
      </c>
      <c r="D52" s="137" t="s">
        <v>276</v>
      </c>
      <c r="E52" s="138">
        <v>98000100</v>
      </c>
      <c r="F52" s="137" t="s">
        <v>267</v>
      </c>
      <c r="G52" s="137" t="s">
        <v>133</v>
      </c>
      <c r="H52" s="138">
        <v>872.97</v>
      </c>
      <c r="I52" s="138">
        <v>8.09</v>
      </c>
      <c r="J52" s="138">
        <v>2683.9</v>
      </c>
      <c r="K52" s="138">
        <v>7.17</v>
      </c>
    </row>
    <row r="53" spans="1:11" x14ac:dyDescent="0.25">
      <c r="A53" s="139" t="s">
        <v>264</v>
      </c>
      <c r="B53" s="139" t="s">
        <v>337</v>
      </c>
      <c r="C53" s="140">
        <v>9</v>
      </c>
      <c r="D53" s="139" t="s">
        <v>276</v>
      </c>
      <c r="E53" s="140">
        <v>76762250</v>
      </c>
      <c r="F53" s="139" t="s">
        <v>268</v>
      </c>
      <c r="G53" s="139" t="s">
        <v>134</v>
      </c>
      <c r="H53" s="140">
        <v>110.64</v>
      </c>
      <c r="I53" s="140">
        <v>10.37</v>
      </c>
      <c r="J53" s="140">
        <v>2683.9</v>
      </c>
      <c r="K53" s="140">
        <v>7.17</v>
      </c>
    </row>
    <row r="54" spans="1:11" x14ac:dyDescent="0.25">
      <c r="A54" s="137" t="s">
        <v>264</v>
      </c>
      <c r="B54" s="137" t="s">
        <v>337</v>
      </c>
      <c r="C54" s="138">
        <v>9</v>
      </c>
      <c r="D54" s="137" t="s">
        <v>276</v>
      </c>
      <c r="E54" s="138">
        <v>98001200</v>
      </c>
      <c r="F54" s="137" t="s">
        <v>269</v>
      </c>
      <c r="G54" s="137" t="s">
        <v>135</v>
      </c>
      <c r="H54" s="138">
        <v>97.27</v>
      </c>
      <c r="I54" s="138">
        <v>8.39</v>
      </c>
      <c r="J54" s="138">
        <v>2683.9</v>
      </c>
      <c r="K54" s="138">
        <v>7.17</v>
      </c>
    </row>
    <row r="55" spans="1:11" x14ac:dyDescent="0.25">
      <c r="A55" s="139" t="s">
        <v>264</v>
      </c>
      <c r="B55" s="139" t="s">
        <v>337</v>
      </c>
      <c r="C55" s="140">
        <v>9</v>
      </c>
      <c r="D55" s="139" t="s">
        <v>276</v>
      </c>
      <c r="E55" s="140">
        <v>76265736</v>
      </c>
      <c r="F55" s="139" t="s">
        <v>267</v>
      </c>
      <c r="G55" s="139" t="s">
        <v>136</v>
      </c>
      <c r="H55" s="140">
        <v>389.93</v>
      </c>
      <c r="I55" s="140">
        <v>5.58</v>
      </c>
      <c r="J55" s="140">
        <v>2683.9</v>
      </c>
      <c r="K55" s="140">
        <v>7.17</v>
      </c>
    </row>
    <row r="56" spans="1:11" x14ac:dyDescent="0.25">
      <c r="A56" s="137" t="s">
        <v>264</v>
      </c>
      <c r="B56" s="137" t="s">
        <v>337</v>
      </c>
      <c r="C56" s="138">
        <v>10</v>
      </c>
      <c r="D56" s="137" t="s">
        <v>277</v>
      </c>
      <c r="E56" s="138">
        <v>98000000</v>
      </c>
      <c r="F56" s="137" t="s">
        <v>265</v>
      </c>
      <c r="G56" s="137" t="s">
        <v>131</v>
      </c>
      <c r="H56" s="138">
        <v>1297.98</v>
      </c>
      <c r="I56" s="138">
        <v>18.59</v>
      </c>
      <c r="J56" s="138">
        <v>6835.76</v>
      </c>
      <c r="K56" s="138">
        <v>18.260000000000002</v>
      </c>
    </row>
    <row r="57" spans="1:11" x14ac:dyDescent="0.25">
      <c r="A57" s="139" t="s">
        <v>264</v>
      </c>
      <c r="B57" s="139" t="s">
        <v>337</v>
      </c>
      <c r="C57" s="140">
        <v>10</v>
      </c>
      <c r="D57" s="139" t="s">
        <v>277</v>
      </c>
      <c r="E57" s="140">
        <v>76240079</v>
      </c>
      <c r="F57" s="139" t="s">
        <v>266</v>
      </c>
      <c r="G57" s="139" t="s">
        <v>132</v>
      </c>
      <c r="H57" s="140">
        <v>1592.91</v>
      </c>
      <c r="I57" s="140">
        <v>15.26</v>
      </c>
      <c r="J57" s="140">
        <v>6835.76</v>
      </c>
      <c r="K57" s="140">
        <v>18.260000000000002</v>
      </c>
    </row>
    <row r="58" spans="1:11" x14ac:dyDescent="0.25">
      <c r="A58" s="137" t="s">
        <v>264</v>
      </c>
      <c r="B58" s="137" t="s">
        <v>337</v>
      </c>
      <c r="C58" s="138">
        <v>10</v>
      </c>
      <c r="D58" s="137" t="s">
        <v>277</v>
      </c>
      <c r="E58" s="138">
        <v>98000100</v>
      </c>
      <c r="F58" s="137" t="s">
        <v>267</v>
      </c>
      <c r="G58" s="137" t="s">
        <v>133</v>
      </c>
      <c r="H58" s="138">
        <v>2553.79</v>
      </c>
      <c r="I58" s="138">
        <v>23.66</v>
      </c>
      <c r="J58" s="138">
        <v>6835.76</v>
      </c>
      <c r="K58" s="138">
        <v>18.260000000000002</v>
      </c>
    </row>
    <row r="59" spans="1:11" x14ac:dyDescent="0.25">
      <c r="A59" s="139" t="s">
        <v>264</v>
      </c>
      <c r="B59" s="139" t="s">
        <v>337</v>
      </c>
      <c r="C59" s="140">
        <v>10</v>
      </c>
      <c r="D59" s="139" t="s">
        <v>277</v>
      </c>
      <c r="E59" s="140">
        <v>76762250</v>
      </c>
      <c r="F59" s="139" t="s">
        <v>268</v>
      </c>
      <c r="G59" s="139" t="s">
        <v>134</v>
      </c>
      <c r="H59" s="140">
        <v>93.78</v>
      </c>
      <c r="I59" s="140">
        <v>8.7899999999999991</v>
      </c>
      <c r="J59" s="140">
        <v>6835.76</v>
      </c>
      <c r="K59" s="140">
        <v>18.260000000000002</v>
      </c>
    </row>
    <row r="60" spans="1:11" x14ac:dyDescent="0.25">
      <c r="A60" s="137" t="s">
        <v>264</v>
      </c>
      <c r="B60" s="137" t="s">
        <v>337</v>
      </c>
      <c r="C60" s="138">
        <v>10</v>
      </c>
      <c r="D60" s="137" t="s">
        <v>277</v>
      </c>
      <c r="E60" s="138">
        <v>98001200</v>
      </c>
      <c r="F60" s="137" t="s">
        <v>269</v>
      </c>
      <c r="G60" s="137" t="s">
        <v>135</v>
      </c>
      <c r="H60" s="138">
        <v>220.97</v>
      </c>
      <c r="I60" s="138">
        <v>19.05</v>
      </c>
      <c r="J60" s="138">
        <v>6835.76</v>
      </c>
      <c r="K60" s="138">
        <v>18.260000000000002</v>
      </c>
    </row>
    <row r="61" spans="1:11" x14ac:dyDescent="0.25">
      <c r="A61" s="139" t="s">
        <v>264</v>
      </c>
      <c r="B61" s="139" t="s">
        <v>337</v>
      </c>
      <c r="C61" s="140">
        <v>10</v>
      </c>
      <c r="D61" s="139" t="s">
        <v>277</v>
      </c>
      <c r="E61" s="140">
        <v>76265736</v>
      </c>
      <c r="F61" s="139" t="s">
        <v>267</v>
      </c>
      <c r="G61" s="139" t="s">
        <v>136</v>
      </c>
      <c r="H61" s="140">
        <v>1076.33</v>
      </c>
      <c r="I61" s="140">
        <v>15.4</v>
      </c>
      <c r="J61" s="140">
        <v>6835.76</v>
      </c>
      <c r="K61" s="140">
        <v>18.260000000000002</v>
      </c>
    </row>
    <row r="62" spans="1:11" x14ac:dyDescent="0.25">
      <c r="A62" s="137" t="s">
        <v>264</v>
      </c>
      <c r="B62" s="137" t="s">
        <v>337</v>
      </c>
      <c r="C62" s="138">
        <v>11</v>
      </c>
      <c r="D62" s="137" t="s">
        <v>278</v>
      </c>
      <c r="E62" s="138">
        <v>98000000</v>
      </c>
      <c r="F62" s="137" t="s">
        <v>265</v>
      </c>
      <c r="G62" s="137" t="s">
        <v>131</v>
      </c>
      <c r="H62" s="138">
        <v>20.63</v>
      </c>
      <c r="I62" s="138">
        <v>0.3</v>
      </c>
      <c r="J62" s="138">
        <v>117.42</v>
      </c>
      <c r="K62" s="138">
        <v>0.31</v>
      </c>
    </row>
    <row r="63" spans="1:11" x14ac:dyDescent="0.25">
      <c r="A63" s="139" t="s">
        <v>264</v>
      </c>
      <c r="B63" s="139" t="s">
        <v>337</v>
      </c>
      <c r="C63" s="140">
        <v>11</v>
      </c>
      <c r="D63" s="139" t="s">
        <v>278</v>
      </c>
      <c r="E63" s="140">
        <v>76240079</v>
      </c>
      <c r="F63" s="139" t="s">
        <v>266</v>
      </c>
      <c r="G63" s="139" t="s">
        <v>132</v>
      </c>
      <c r="H63" s="140">
        <v>34.79</v>
      </c>
      <c r="I63" s="140">
        <v>0.33</v>
      </c>
      <c r="J63" s="140">
        <v>117.42</v>
      </c>
      <c r="K63" s="140">
        <v>0.31</v>
      </c>
    </row>
    <row r="64" spans="1:11" x14ac:dyDescent="0.25">
      <c r="A64" s="137" t="s">
        <v>264</v>
      </c>
      <c r="B64" s="137" t="s">
        <v>337</v>
      </c>
      <c r="C64" s="138">
        <v>11</v>
      </c>
      <c r="D64" s="137" t="s">
        <v>278</v>
      </c>
      <c r="E64" s="138">
        <v>98000100</v>
      </c>
      <c r="F64" s="137" t="s">
        <v>267</v>
      </c>
      <c r="G64" s="137" t="s">
        <v>133</v>
      </c>
      <c r="H64" s="138">
        <v>9.85</v>
      </c>
      <c r="I64" s="138">
        <v>0.09</v>
      </c>
      <c r="J64" s="138">
        <v>117.42</v>
      </c>
      <c r="K64" s="138">
        <v>0.31</v>
      </c>
    </row>
    <row r="65" spans="1:11" x14ac:dyDescent="0.25">
      <c r="A65" s="139" t="s">
        <v>264</v>
      </c>
      <c r="B65" s="139" t="s">
        <v>337</v>
      </c>
      <c r="C65" s="140">
        <v>11</v>
      </c>
      <c r="D65" s="139" t="s">
        <v>278</v>
      </c>
      <c r="E65" s="140">
        <v>76762250</v>
      </c>
      <c r="F65" s="139" t="s">
        <v>268</v>
      </c>
      <c r="G65" s="139" t="s">
        <v>134</v>
      </c>
      <c r="H65" s="140">
        <v>17.559999999999999</v>
      </c>
      <c r="I65" s="140">
        <v>1.65</v>
      </c>
      <c r="J65" s="140">
        <v>117.42</v>
      </c>
      <c r="K65" s="140">
        <v>0.31</v>
      </c>
    </row>
    <row r="66" spans="1:11" x14ac:dyDescent="0.25">
      <c r="A66" s="137" t="s">
        <v>264</v>
      </c>
      <c r="B66" s="137" t="s">
        <v>337</v>
      </c>
      <c r="C66" s="138">
        <v>11</v>
      </c>
      <c r="D66" s="137" t="s">
        <v>278</v>
      </c>
      <c r="E66" s="138">
        <v>98001200</v>
      </c>
      <c r="F66" s="137" t="s">
        <v>269</v>
      </c>
      <c r="G66" s="137" t="s">
        <v>135</v>
      </c>
      <c r="H66" s="138">
        <v>1.1200000000000001</v>
      </c>
      <c r="I66" s="138">
        <v>0.1</v>
      </c>
      <c r="J66" s="138">
        <v>117.42</v>
      </c>
      <c r="K66" s="138">
        <v>0.31</v>
      </c>
    </row>
    <row r="67" spans="1:11" x14ac:dyDescent="0.25">
      <c r="A67" s="139" t="s">
        <v>264</v>
      </c>
      <c r="B67" s="139" t="s">
        <v>337</v>
      </c>
      <c r="C67" s="140">
        <v>11</v>
      </c>
      <c r="D67" s="139" t="s">
        <v>278</v>
      </c>
      <c r="E67" s="140">
        <v>76265736</v>
      </c>
      <c r="F67" s="139" t="s">
        <v>267</v>
      </c>
      <c r="G67" s="139" t="s">
        <v>136</v>
      </c>
      <c r="H67" s="140">
        <v>33.47</v>
      </c>
      <c r="I67" s="140">
        <v>0.48</v>
      </c>
      <c r="J67" s="140">
        <v>117.42</v>
      </c>
      <c r="K67" s="140">
        <v>0.31</v>
      </c>
    </row>
    <row r="68" spans="1:11" x14ac:dyDescent="0.25">
      <c r="A68" s="137" t="s">
        <v>264</v>
      </c>
      <c r="B68" s="137" t="s">
        <v>337</v>
      </c>
      <c r="C68" s="138">
        <v>12</v>
      </c>
      <c r="D68" s="137" t="s">
        <v>279</v>
      </c>
      <c r="E68" s="138">
        <v>98000000</v>
      </c>
      <c r="F68" s="137" t="s">
        <v>265</v>
      </c>
      <c r="G68" s="137" t="s">
        <v>131</v>
      </c>
      <c r="H68" s="138">
        <v>1402.56</v>
      </c>
      <c r="I68" s="138">
        <v>20.09</v>
      </c>
      <c r="J68" s="138">
        <v>7145.23</v>
      </c>
      <c r="K68" s="138">
        <v>19.09</v>
      </c>
    </row>
    <row r="69" spans="1:11" x14ac:dyDescent="0.25">
      <c r="A69" s="139" t="s">
        <v>264</v>
      </c>
      <c r="B69" s="139" t="s">
        <v>337</v>
      </c>
      <c r="C69" s="140">
        <v>12</v>
      </c>
      <c r="D69" s="139" t="s">
        <v>279</v>
      </c>
      <c r="E69" s="140">
        <v>76240079</v>
      </c>
      <c r="F69" s="139" t="s">
        <v>266</v>
      </c>
      <c r="G69" s="139" t="s">
        <v>132</v>
      </c>
      <c r="H69" s="140">
        <v>1928.41</v>
      </c>
      <c r="I69" s="140">
        <v>18.47</v>
      </c>
      <c r="J69" s="140">
        <v>7145.23</v>
      </c>
      <c r="K69" s="140">
        <v>19.09</v>
      </c>
    </row>
    <row r="70" spans="1:11" x14ac:dyDescent="0.25">
      <c r="A70" s="137" t="s">
        <v>264</v>
      </c>
      <c r="B70" s="137" t="s">
        <v>337</v>
      </c>
      <c r="C70" s="138">
        <v>12</v>
      </c>
      <c r="D70" s="137" t="s">
        <v>279</v>
      </c>
      <c r="E70" s="138">
        <v>98000100</v>
      </c>
      <c r="F70" s="137" t="s">
        <v>267</v>
      </c>
      <c r="G70" s="137" t="s">
        <v>133</v>
      </c>
      <c r="H70" s="138">
        <v>1923.49</v>
      </c>
      <c r="I70" s="138">
        <v>17.82</v>
      </c>
      <c r="J70" s="138">
        <v>7145.23</v>
      </c>
      <c r="K70" s="138">
        <v>19.09</v>
      </c>
    </row>
    <row r="71" spans="1:11" x14ac:dyDescent="0.25">
      <c r="A71" s="139" t="s">
        <v>264</v>
      </c>
      <c r="B71" s="139" t="s">
        <v>337</v>
      </c>
      <c r="C71" s="140">
        <v>12</v>
      </c>
      <c r="D71" s="139" t="s">
        <v>279</v>
      </c>
      <c r="E71" s="140">
        <v>76762250</v>
      </c>
      <c r="F71" s="139" t="s">
        <v>268</v>
      </c>
      <c r="G71" s="139" t="s">
        <v>134</v>
      </c>
      <c r="H71" s="140">
        <v>126.58</v>
      </c>
      <c r="I71" s="140">
        <v>11.86</v>
      </c>
      <c r="J71" s="140">
        <v>7145.23</v>
      </c>
      <c r="K71" s="140">
        <v>19.09</v>
      </c>
    </row>
    <row r="72" spans="1:11" x14ac:dyDescent="0.25">
      <c r="A72" s="137" t="s">
        <v>264</v>
      </c>
      <c r="B72" s="137" t="s">
        <v>337</v>
      </c>
      <c r="C72" s="138">
        <v>12</v>
      </c>
      <c r="D72" s="137" t="s">
        <v>279</v>
      </c>
      <c r="E72" s="138">
        <v>98001200</v>
      </c>
      <c r="F72" s="137" t="s">
        <v>269</v>
      </c>
      <c r="G72" s="137" t="s">
        <v>135</v>
      </c>
      <c r="H72" s="138">
        <v>286.97000000000003</v>
      </c>
      <c r="I72" s="138">
        <v>24.74</v>
      </c>
      <c r="J72" s="138">
        <v>7145.23</v>
      </c>
      <c r="K72" s="138">
        <v>19.09</v>
      </c>
    </row>
    <row r="73" spans="1:11" x14ac:dyDescent="0.25">
      <c r="A73" s="139" t="s">
        <v>264</v>
      </c>
      <c r="B73" s="139" t="s">
        <v>337</v>
      </c>
      <c r="C73" s="140">
        <v>12</v>
      </c>
      <c r="D73" s="139" t="s">
        <v>279</v>
      </c>
      <c r="E73" s="140">
        <v>76265736</v>
      </c>
      <c r="F73" s="139" t="s">
        <v>267</v>
      </c>
      <c r="G73" s="139" t="s">
        <v>136</v>
      </c>
      <c r="H73" s="140">
        <v>1477.22</v>
      </c>
      <c r="I73" s="140">
        <v>21.14</v>
      </c>
      <c r="J73" s="140">
        <v>7145.23</v>
      </c>
      <c r="K73" s="140">
        <v>19.09</v>
      </c>
    </row>
    <row r="74" spans="1:11" x14ac:dyDescent="0.25">
      <c r="A74" s="137" t="s">
        <v>264</v>
      </c>
      <c r="B74" s="137" t="s">
        <v>337</v>
      </c>
      <c r="C74" s="138">
        <v>13</v>
      </c>
      <c r="D74" s="137" t="s">
        <v>280</v>
      </c>
      <c r="E74" s="138">
        <v>98000000</v>
      </c>
      <c r="F74" s="137" t="s">
        <v>265</v>
      </c>
      <c r="G74" s="137" t="s">
        <v>131</v>
      </c>
      <c r="H74" s="138">
        <v>11.11</v>
      </c>
      <c r="I74" s="138">
        <v>0.16</v>
      </c>
      <c r="J74" s="138">
        <v>56.61</v>
      </c>
      <c r="K74" s="138">
        <v>0.15</v>
      </c>
    </row>
    <row r="75" spans="1:11" x14ac:dyDescent="0.25">
      <c r="A75" s="139" t="s">
        <v>264</v>
      </c>
      <c r="B75" s="139" t="s">
        <v>337</v>
      </c>
      <c r="C75" s="140">
        <v>13</v>
      </c>
      <c r="D75" s="139" t="s">
        <v>280</v>
      </c>
      <c r="E75" s="140">
        <v>76240079</v>
      </c>
      <c r="F75" s="139" t="s">
        <v>266</v>
      </c>
      <c r="G75" s="139" t="s">
        <v>132</v>
      </c>
      <c r="H75" s="140">
        <v>8.98</v>
      </c>
      <c r="I75" s="140">
        <v>0.09</v>
      </c>
      <c r="J75" s="140">
        <v>56.61</v>
      </c>
      <c r="K75" s="140">
        <v>0.15</v>
      </c>
    </row>
    <row r="76" spans="1:11" x14ac:dyDescent="0.25">
      <c r="A76" s="137" t="s">
        <v>264</v>
      </c>
      <c r="B76" s="137" t="s">
        <v>337</v>
      </c>
      <c r="C76" s="138">
        <v>13</v>
      </c>
      <c r="D76" s="137" t="s">
        <v>280</v>
      </c>
      <c r="E76" s="138">
        <v>98000100</v>
      </c>
      <c r="F76" s="137" t="s">
        <v>267</v>
      </c>
      <c r="G76" s="137" t="s">
        <v>133</v>
      </c>
      <c r="H76" s="138">
        <v>0.81</v>
      </c>
      <c r="I76" s="138">
        <v>0.01</v>
      </c>
      <c r="J76" s="138">
        <v>56.61</v>
      </c>
      <c r="K76" s="138">
        <v>0.15</v>
      </c>
    </row>
    <row r="77" spans="1:11" x14ac:dyDescent="0.25">
      <c r="A77" s="139" t="s">
        <v>264</v>
      </c>
      <c r="B77" s="139" t="s">
        <v>337</v>
      </c>
      <c r="C77" s="140">
        <v>13</v>
      </c>
      <c r="D77" s="139" t="s">
        <v>280</v>
      </c>
      <c r="E77" s="140">
        <v>76762250</v>
      </c>
      <c r="F77" s="139" t="s">
        <v>268</v>
      </c>
      <c r="G77" s="139" t="s">
        <v>134</v>
      </c>
      <c r="H77" s="140">
        <v>2.11</v>
      </c>
      <c r="I77" s="140">
        <v>0.2</v>
      </c>
      <c r="J77" s="140">
        <v>56.61</v>
      </c>
      <c r="K77" s="140">
        <v>0.15</v>
      </c>
    </row>
    <row r="78" spans="1:11" x14ac:dyDescent="0.25">
      <c r="A78" s="137" t="s">
        <v>264</v>
      </c>
      <c r="B78" s="137" t="s">
        <v>337</v>
      </c>
      <c r="C78" s="138">
        <v>13</v>
      </c>
      <c r="D78" s="137" t="s">
        <v>280</v>
      </c>
      <c r="E78" s="138">
        <v>98001200</v>
      </c>
      <c r="F78" s="137" t="s">
        <v>269</v>
      </c>
      <c r="G78" s="137" t="s">
        <v>135</v>
      </c>
      <c r="H78" s="138">
        <v>2.92</v>
      </c>
      <c r="I78" s="138">
        <v>0.25</v>
      </c>
      <c r="J78" s="138">
        <v>56.61</v>
      </c>
      <c r="K78" s="138">
        <v>0.15</v>
      </c>
    </row>
    <row r="79" spans="1:11" x14ac:dyDescent="0.25">
      <c r="A79" s="139" t="s">
        <v>264</v>
      </c>
      <c r="B79" s="139" t="s">
        <v>337</v>
      </c>
      <c r="C79" s="140">
        <v>13</v>
      </c>
      <c r="D79" s="139" t="s">
        <v>280</v>
      </c>
      <c r="E79" s="140">
        <v>76265736</v>
      </c>
      <c r="F79" s="139" t="s">
        <v>267</v>
      </c>
      <c r="G79" s="139" t="s">
        <v>136</v>
      </c>
      <c r="H79" s="140">
        <v>30.68</v>
      </c>
      <c r="I79" s="140">
        <v>0.44</v>
      </c>
      <c r="J79" s="140">
        <v>56.61</v>
      </c>
      <c r="K79" s="140">
        <v>0.15</v>
      </c>
    </row>
    <row r="80" spans="1:11" x14ac:dyDescent="0.25">
      <c r="A80" s="137" t="s">
        <v>264</v>
      </c>
      <c r="B80" s="137" t="s">
        <v>337</v>
      </c>
      <c r="C80" s="138">
        <v>14</v>
      </c>
      <c r="D80" s="137" t="s">
        <v>281</v>
      </c>
      <c r="E80" s="138">
        <v>98000000</v>
      </c>
      <c r="F80" s="137" t="s">
        <v>265</v>
      </c>
      <c r="G80" s="137" t="s">
        <v>131</v>
      </c>
      <c r="H80" s="138">
        <v>26.37</v>
      </c>
      <c r="I80" s="138">
        <v>0.38</v>
      </c>
      <c r="J80" s="138">
        <v>34.950000000000003</v>
      </c>
      <c r="K80" s="138">
        <v>0.09</v>
      </c>
    </row>
    <row r="81" spans="1:11" x14ac:dyDescent="0.25">
      <c r="A81" s="139" t="s">
        <v>264</v>
      </c>
      <c r="B81" s="139" t="s">
        <v>337</v>
      </c>
      <c r="C81" s="140">
        <v>14</v>
      </c>
      <c r="D81" s="139" t="s">
        <v>281</v>
      </c>
      <c r="E81" s="140">
        <v>76240079</v>
      </c>
      <c r="F81" s="139" t="s">
        <v>266</v>
      </c>
      <c r="G81" s="139" t="s">
        <v>132</v>
      </c>
      <c r="H81" s="140">
        <v>0.9</v>
      </c>
      <c r="I81" s="140">
        <v>0.01</v>
      </c>
      <c r="J81" s="140">
        <v>34.950000000000003</v>
      </c>
      <c r="K81" s="140">
        <v>0.09</v>
      </c>
    </row>
    <row r="82" spans="1:11" x14ac:dyDescent="0.25">
      <c r="A82" s="137" t="s">
        <v>264</v>
      </c>
      <c r="B82" s="137" t="s">
        <v>337</v>
      </c>
      <c r="C82" s="138">
        <v>14</v>
      </c>
      <c r="D82" s="137" t="s">
        <v>281</v>
      </c>
      <c r="E82" s="138">
        <v>98000100</v>
      </c>
      <c r="F82" s="137" t="s">
        <v>267</v>
      </c>
      <c r="G82" s="137" t="s">
        <v>133</v>
      </c>
      <c r="H82" s="138">
        <v>7.24</v>
      </c>
      <c r="I82" s="138">
        <v>7.0000000000000007E-2</v>
      </c>
      <c r="J82" s="138">
        <v>34.950000000000003</v>
      </c>
      <c r="K82" s="138">
        <v>0.09</v>
      </c>
    </row>
    <row r="83" spans="1:11" x14ac:dyDescent="0.25">
      <c r="A83" s="139" t="s">
        <v>264</v>
      </c>
      <c r="B83" s="139" t="s">
        <v>337</v>
      </c>
      <c r="C83" s="140">
        <v>14</v>
      </c>
      <c r="D83" s="139" t="s">
        <v>281</v>
      </c>
      <c r="E83" s="140">
        <v>76762250</v>
      </c>
      <c r="F83" s="139" t="s">
        <v>268</v>
      </c>
      <c r="G83" s="139" t="s">
        <v>134</v>
      </c>
      <c r="H83" s="140">
        <v>0.13</v>
      </c>
      <c r="I83" s="140">
        <v>0.01</v>
      </c>
      <c r="J83" s="140">
        <v>34.950000000000003</v>
      </c>
      <c r="K83" s="140">
        <v>0.09</v>
      </c>
    </row>
    <row r="84" spans="1:11" x14ac:dyDescent="0.25">
      <c r="A84" s="137" t="s">
        <v>264</v>
      </c>
      <c r="B84" s="137" t="s">
        <v>337</v>
      </c>
      <c r="C84" s="138">
        <v>14</v>
      </c>
      <c r="D84" s="137" t="s">
        <v>281</v>
      </c>
      <c r="E84" s="138">
        <v>98001200</v>
      </c>
      <c r="F84" s="137" t="s">
        <v>269</v>
      </c>
      <c r="G84" s="137" t="s">
        <v>135</v>
      </c>
      <c r="H84" s="138">
        <v>0.17</v>
      </c>
      <c r="I84" s="138">
        <v>0.01</v>
      </c>
      <c r="J84" s="138">
        <v>34.950000000000003</v>
      </c>
      <c r="K84" s="138">
        <v>0.09</v>
      </c>
    </row>
    <row r="85" spans="1:11" x14ac:dyDescent="0.25">
      <c r="A85" s="139" t="s">
        <v>264</v>
      </c>
      <c r="B85" s="139" t="s">
        <v>337</v>
      </c>
      <c r="C85" s="140">
        <v>14</v>
      </c>
      <c r="D85" s="139" t="s">
        <v>281</v>
      </c>
      <c r="E85" s="140">
        <v>76265736</v>
      </c>
      <c r="F85" s="139" t="s">
        <v>267</v>
      </c>
      <c r="G85" s="139" t="s">
        <v>136</v>
      </c>
      <c r="H85" s="140">
        <v>0.13</v>
      </c>
      <c r="I85" s="140">
        <v>0</v>
      </c>
      <c r="J85" s="140">
        <v>34.950000000000003</v>
      </c>
      <c r="K85" s="140">
        <v>0.09</v>
      </c>
    </row>
    <row r="86" spans="1:11" x14ac:dyDescent="0.25">
      <c r="A86" s="137" t="s">
        <v>264</v>
      </c>
      <c r="B86" s="137" t="s">
        <v>337</v>
      </c>
      <c r="C86" s="138">
        <v>15</v>
      </c>
      <c r="D86" s="137" t="s">
        <v>282</v>
      </c>
      <c r="E86" s="138">
        <v>98000000</v>
      </c>
      <c r="F86" s="137" t="s">
        <v>265</v>
      </c>
      <c r="G86" s="137" t="s">
        <v>131</v>
      </c>
      <c r="H86" s="138">
        <v>3.22</v>
      </c>
      <c r="I86" s="138">
        <v>0.05</v>
      </c>
      <c r="J86" s="138">
        <v>72.12</v>
      </c>
      <c r="K86" s="138">
        <v>0.19</v>
      </c>
    </row>
    <row r="87" spans="1:11" x14ac:dyDescent="0.25">
      <c r="A87" s="139" t="s">
        <v>264</v>
      </c>
      <c r="B87" s="139" t="s">
        <v>337</v>
      </c>
      <c r="C87" s="140">
        <v>15</v>
      </c>
      <c r="D87" s="139" t="s">
        <v>282</v>
      </c>
      <c r="E87" s="140">
        <v>76240079</v>
      </c>
      <c r="F87" s="139" t="s">
        <v>266</v>
      </c>
      <c r="G87" s="139" t="s">
        <v>132</v>
      </c>
      <c r="H87" s="140">
        <v>18.32</v>
      </c>
      <c r="I87" s="140">
        <v>0.18</v>
      </c>
      <c r="J87" s="140">
        <v>72.12</v>
      </c>
      <c r="K87" s="140">
        <v>0.19</v>
      </c>
    </row>
    <row r="88" spans="1:11" x14ac:dyDescent="0.25">
      <c r="A88" s="137" t="s">
        <v>264</v>
      </c>
      <c r="B88" s="137" t="s">
        <v>337</v>
      </c>
      <c r="C88" s="138">
        <v>15</v>
      </c>
      <c r="D88" s="137" t="s">
        <v>282</v>
      </c>
      <c r="E88" s="138">
        <v>98000100</v>
      </c>
      <c r="F88" s="137" t="s">
        <v>267</v>
      </c>
      <c r="G88" s="137" t="s">
        <v>133</v>
      </c>
      <c r="H88" s="138">
        <v>38.19</v>
      </c>
      <c r="I88" s="138">
        <v>0.35</v>
      </c>
      <c r="J88" s="138">
        <v>72.12</v>
      </c>
      <c r="K88" s="138">
        <v>0.19</v>
      </c>
    </row>
    <row r="89" spans="1:11" x14ac:dyDescent="0.25">
      <c r="A89" s="139" t="s">
        <v>264</v>
      </c>
      <c r="B89" s="139" t="s">
        <v>337</v>
      </c>
      <c r="C89" s="140">
        <v>15</v>
      </c>
      <c r="D89" s="139" t="s">
        <v>282</v>
      </c>
      <c r="E89" s="140">
        <v>76762250</v>
      </c>
      <c r="F89" s="139" t="s">
        <v>268</v>
      </c>
      <c r="G89" s="139" t="s">
        <v>134</v>
      </c>
      <c r="H89" s="140">
        <v>0.3</v>
      </c>
      <c r="I89" s="140">
        <v>0.03</v>
      </c>
      <c r="J89" s="140">
        <v>72.12</v>
      </c>
      <c r="K89" s="140">
        <v>0.19</v>
      </c>
    </row>
    <row r="90" spans="1:11" x14ac:dyDescent="0.25">
      <c r="A90" s="137" t="s">
        <v>264</v>
      </c>
      <c r="B90" s="137" t="s">
        <v>337</v>
      </c>
      <c r="C90" s="138">
        <v>15</v>
      </c>
      <c r="D90" s="137" t="s">
        <v>282</v>
      </c>
      <c r="E90" s="138">
        <v>98001200</v>
      </c>
      <c r="F90" s="137" t="s">
        <v>269</v>
      </c>
      <c r="G90" s="137" t="s">
        <v>135</v>
      </c>
      <c r="H90" s="138">
        <v>0.82</v>
      </c>
      <c r="I90" s="138">
        <v>7.0000000000000007E-2</v>
      </c>
      <c r="J90" s="138">
        <v>72.12</v>
      </c>
      <c r="K90" s="138">
        <v>0.19</v>
      </c>
    </row>
    <row r="91" spans="1:11" x14ac:dyDescent="0.25">
      <c r="A91" s="139" t="s">
        <v>264</v>
      </c>
      <c r="B91" s="139" t="s">
        <v>337</v>
      </c>
      <c r="C91" s="140">
        <v>15</v>
      </c>
      <c r="D91" s="139" t="s">
        <v>282</v>
      </c>
      <c r="E91" s="140">
        <v>76265736</v>
      </c>
      <c r="F91" s="139" t="s">
        <v>267</v>
      </c>
      <c r="G91" s="139" t="s">
        <v>136</v>
      </c>
      <c r="H91" s="140">
        <v>11.26</v>
      </c>
      <c r="I91" s="140">
        <v>0.16</v>
      </c>
      <c r="J91" s="140">
        <v>72.12</v>
      </c>
      <c r="K91" s="140">
        <v>0.19</v>
      </c>
    </row>
    <row r="92" spans="1:11" x14ac:dyDescent="0.25">
      <c r="A92" s="137" t="s">
        <v>264</v>
      </c>
      <c r="B92" s="137" t="s">
        <v>337</v>
      </c>
      <c r="C92" s="138">
        <v>16</v>
      </c>
      <c r="D92" s="137" t="s">
        <v>283</v>
      </c>
      <c r="E92" s="138">
        <v>98000000</v>
      </c>
      <c r="F92" s="137" t="s">
        <v>265</v>
      </c>
      <c r="G92" s="137" t="s">
        <v>131</v>
      </c>
      <c r="H92" s="138">
        <v>0.37</v>
      </c>
      <c r="I92" s="138">
        <v>0.01</v>
      </c>
      <c r="J92" s="138">
        <v>2.4300000000000002</v>
      </c>
      <c r="K92" s="138">
        <v>0.01</v>
      </c>
    </row>
    <row r="93" spans="1:11" x14ac:dyDescent="0.25">
      <c r="A93" s="139" t="s">
        <v>264</v>
      </c>
      <c r="B93" s="139" t="s">
        <v>337</v>
      </c>
      <c r="C93" s="140">
        <v>16</v>
      </c>
      <c r="D93" s="139" t="s">
        <v>283</v>
      </c>
      <c r="E93" s="140">
        <v>76240079</v>
      </c>
      <c r="F93" s="139" t="s">
        <v>266</v>
      </c>
      <c r="G93" s="139" t="s">
        <v>132</v>
      </c>
      <c r="H93" s="140">
        <v>1.53</v>
      </c>
      <c r="I93" s="140">
        <v>0.01</v>
      </c>
      <c r="J93" s="140">
        <v>2.4300000000000002</v>
      </c>
      <c r="K93" s="140">
        <v>0.01</v>
      </c>
    </row>
    <row r="94" spans="1:11" x14ac:dyDescent="0.25">
      <c r="A94" s="137" t="s">
        <v>264</v>
      </c>
      <c r="B94" s="137" t="s">
        <v>337</v>
      </c>
      <c r="C94" s="138">
        <v>16</v>
      </c>
      <c r="D94" s="137" t="s">
        <v>283</v>
      </c>
      <c r="E94" s="138">
        <v>98000100</v>
      </c>
      <c r="F94" s="137" t="s">
        <v>267</v>
      </c>
      <c r="G94" s="137" t="s">
        <v>133</v>
      </c>
      <c r="H94" s="138">
        <v>0.34</v>
      </c>
      <c r="I94" s="138">
        <v>0</v>
      </c>
      <c r="J94" s="138">
        <v>2.4300000000000002</v>
      </c>
      <c r="K94" s="138">
        <v>0.01</v>
      </c>
    </row>
    <row r="95" spans="1:11" x14ac:dyDescent="0.25">
      <c r="A95" s="139" t="s">
        <v>264</v>
      </c>
      <c r="B95" s="139" t="s">
        <v>337</v>
      </c>
      <c r="C95" s="140">
        <v>16</v>
      </c>
      <c r="D95" s="139" t="s">
        <v>283</v>
      </c>
      <c r="E95" s="140">
        <v>76762250</v>
      </c>
      <c r="F95" s="139" t="s">
        <v>268</v>
      </c>
      <c r="G95" s="139" t="s">
        <v>134</v>
      </c>
      <c r="H95" s="140">
        <v>0.15</v>
      </c>
      <c r="I95" s="140">
        <v>0.01</v>
      </c>
      <c r="J95" s="140">
        <v>2.4300000000000002</v>
      </c>
      <c r="K95" s="140">
        <v>0.01</v>
      </c>
    </row>
    <row r="96" spans="1:11" x14ac:dyDescent="0.25">
      <c r="A96" s="137" t="s">
        <v>264</v>
      </c>
      <c r="B96" s="137" t="s">
        <v>337</v>
      </c>
      <c r="C96" s="138">
        <v>16</v>
      </c>
      <c r="D96" s="137" t="s">
        <v>283</v>
      </c>
      <c r="E96" s="138">
        <v>98001200</v>
      </c>
      <c r="F96" s="137" t="s">
        <v>269</v>
      </c>
      <c r="G96" s="137" t="s">
        <v>135</v>
      </c>
      <c r="H96" s="138">
        <v>0.04</v>
      </c>
      <c r="I96" s="138">
        <v>0</v>
      </c>
      <c r="J96" s="138">
        <v>2.4300000000000002</v>
      </c>
      <c r="K96" s="138">
        <v>0.01</v>
      </c>
    </row>
    <row r="97" spans="1:11" x14ac:dyDescent="0.25">
      <c r="A97" s="139" t="s">
        <v>264</v>
      </c>
      <c r="B97" s="139" t="s">
        <v>337</v>
      </c>
      <c r="C97" s="140">
        <v>16</v>
      </c>
      <c r="D97" s="139" t="s">
        <v>283</v>
      </c>
      <c r="E97" s="140">
        <v>76265736</v>
      </c>
      <c r="F97" s="139" t="s">
        <v>267</v>
      </c>
      <c r="G97" s="139" t="s">
        <v>136</v>
      </c>
      <c r="H97" s="140">
        <v>0</v>
      </c>
      <c r="I97" s="140">
        <v>0</v>
      </c>
      <c r="J97" s="140">
        <v>2.4300000000000002</v>
      </c>
      <c r="K97" s="140">
        <v>0.01</v>
      </c>
    </row>
    <row r="98" spans="1:11" x14ac:dyDescent="0.25">
      <c r="A98" s="137" t="s">
        <v>264</v>
      </c>
      <c r="B98" s="137" t="s">
        <v>337</v>
      </c>
      <c r="C98" s="138">
        <v>17</v>
      </c>
      <c r="D98" s="137" t="s">
        <v>13</v>
      </c>
      <c r="E98" s="138">
        <v>98000000</v>
      </c>
      <c r="F98" s="137" t="s">
        <v>265</v>
      </c>
      <c r="G98" s="137" t="s">
        <v>131</v>
      </c>
      <c r="H98" s="138">
        <v>571.01</v>
      </c>
      <c r="I98" s="138">
        <v>8.18</v>
      </c>
      <c r="J98" s="138">
        <v>3890.34</v>
      </c>
      <c r="K98" s="138">
        <v>10.39</v>
      </c>
    </row>
    <row r="99" spans="1:11" x14ac:dyDescent="0.25">
      <c r="A99" s="139" t="s">
        <v>264</v>
      </c>
      <c r="B99" s="139" t="s">
        <v>337</v>
      </c>
      <c r="C99" s="140">
        <v>17</v>
      </c>
      <c r="D99" s="139" t="s">
        <v>13</v>
      </c>
      <c r="E99" s="140">
        <v>76240079</v>
      </c>
      <c r="F99" s="139" t="s">
        <v>266</v>
      </c>
      <c r="G99" s="139" t="s">
        <v>132</v>
      </c>
      <c r="H99" s="140">
        <v>1203.54</v>
      </c>
      <c r="I99" s="140">
        <v>11.53</v>
      </c>
      <c r="J99" s="140">
        <v>3890.34</v>
      </c>
      <c r="K99" s="140">
        <v>10.39</v>
      </c>
    </row>
    <row r="100" spans="1:11" x14ac:dyDescent="0.25">
      <c r="A100" s="137" t="s">
        <v>264</v>
      </c>
      <c r="B100" s="137" t="s">
        <v>337</v>
      </c>
      <c r="C100" s="138">
        <v>17</v>
      </c>
      <c r="D100" s="137" t="s">
        <v>13</v>
      </c>
      <c r="E100" s="138">
        <v>98000100</v>
      </c>
      <c r="F100" s="137" t="s">
        <v>267</v>
      </c>
      <c r="G100" s="137" t="s">
        <v>133</v>
      </c>
      <c r="H100" s="138">
        <v>1428.5</v>
      </c>
      <c r="I100" s="138">
        <v>13.23</v>
      </c>
      <c r="J100" s="138">
        <v>3890.34</v>
      </c>
      <c r="K100" s="138">
        <v>10.39</v>
      </c>
    </row>
    <row r="101" spans="1:11" x14ac:dyDescent="0.25">
      <c r="A101" s="139" t="s">
        <v>264</v>
      </c>
      <c r="B101" s="139" t="s">
        <v>337</v>
      </c>
      <c r="C101" s="140">
        <v>17</v>
      </c>
      <c r="D101" s="139" t="s">
        <v>13</v>
      </c>
      <c r="E101" s="140">
        <v>76762250</v>
      </c>
      <c r="F101" s="139" t="s">
        <v>268</v>
      </c>
      <c r="G101" s="139" t="s">
        <v>134</v>
      </c>
      <c r="H101" s="140">
        <v>126.91</v>
      </c>
      <c r="I101" s="140">
        <v>11.9</v>
      </c>
      <c r="J101" s="140">
        <v>3890.34</v>
      </c>
      <c r="K101" s="140">
        <v>10.39</v>
      </c>
    </row>
    <row r="102" spans="1:11" x14ac:dyDescent="0.25">
      <c r="A102" s="137" t="s">
        <v>264</v>
      </c>
      <c r="B102" s="137" t="s">
        <v>337</v>
      </c>
      <c r="C102" s="138">
        <v>17</v>
      </c>
      <c r="D102" s="137" t="s">
        <v>13</v>
      </c>
      <c r="E102" s="138">
        <v>98001200</v>
      </c>
      <c r="F102" s="137" t="s">
        <v>269</v>
      </c>
      <c r="G102" s="137" t="s">
        <v>135</v>
      </c>
      <c r="H102" s="138">
        <v>102.08</v>
      </c>
      <c r="I102" s="138">
        <v>8.8000000000000007</v>
      </c>
      <c r="J102" s="138">
        <v>3890.34</v>
      </c>
      <c r="K102" s="138">
        <v>10.39</v>
      </c>
    </row>
    <row r="103" spans="1:11" x14ac:dyDescent="0.25">
      <c r="A103" s="139" t="s">
        <v>264</v>
      </c>
      <c r="B103" s="139" t="s">
        <v>337</v>
      </c>
      <c r="C103" s="140">
        <v>17</v>
      </c>
      <c r="D103" s="139" t="s">
        <v>13</v>
      </c>
      <c r="E103" s="140">
        <v>76265736</v>
      </c>
      <c r="F103" s="139" t="s">
        <v>267</v>
      </c>
      <c r="G103" s="139" t="s">
        <v>136</v>
      </c>
      <c r="H103" s="140">
        <v>458.3</v>
      </c>
      <c r="I103" s="140">
        <v>6.56</v>
      </c>
      <c r="J103" s="140">
        <v>3890.34</v>
      </c>
      <c r="K103" s="140">
        <v>10.39</v>
      </c>
    </row>
    <row r="104" spans="1:11" x14ac:dyDescent="0.25">
      <c r="A104" s="137" t="s">
        <v>264</v>
      </c>
      <c r="B104" s="137" t="s">
        <v>337</v>
      </c>
      <c r="C104" s="138">
        <v>18</v>
      </c>
      <c r="D104" s="137" t="s">
        <v>270</v>
      </c>
      <c r="E104" s="138">
        <v>98000000</v>
      </c>
      <c r="F104" s="137" t="s">
        <v>265</v>
      </c>
      <c r="G104" s="137" t="s">
        <v>131</v>
      </c>
      <c r="H104" s="138">
        <v>82.49</v>
      </c>
      <c r="I104" s="138">
        <v>1.18</v>
      </c>
      <c r="J104" s="138">
        <v>584.63</v>
      </c>
      <c r="K104" s="138">
        <v>1.56</v>
      </c>
    </row>
    <row r="105" spans="1:11" x14ac:dyDescent="0.25">
      <c r="A105" s="139" t="s">
        <v>264</v>
      </c>
      <c r="B105" s="139" t="s">
        <v>337</v>
      </c>
      <c r="C105" s="140">
        <v>18</v>
      </c>
      <c r="D105" s="139" t="s">
        <v>270</v>
      </c>
      <c r="E105" s="140">
        <v>76240079</v>
      </c>
      <c r="F105" s="139" t="s">
        <v>266</v>
      </c>
      <c r="G105" s="139" t="s">
        <v>132</v>
      </c>
      <c r="H105" s="140">
        <v>120.46</v>
      </c>
      <c r="I105" s="140">
        <v>1.1499999999999999</v>
      </c>
      <c r="J105" s="140">
        <v>584.63</v>
      </c>
      <c r="K105" s="140">
        <v>1.56</v>
      </c>
    </row>
    <row r="106" spans="1:11" x14ac:dyDescent="0.25">
      <c r="A106" s="137" t="s">
        <v>264</v>
      </c>
      <c r="B106" s="137" t="s">
        <v>337</v>
      </c>
      <c r="C106" s="138">
        <v>18</v>
      </c>
      <c r="D106" s="137" t="s">
        <v>270</v>
      </c>
      <c r="E106" s="138">
        <v>98000100</v>
      </c>
      <c r="F106" s="137" t="s">
        <v>267</v>
      </c>
      <c r="G106" s="137" t="s">
        <v>133</v>
      </c>
      <c r="H106" s="138">
        <v>172.09</v>
      </c>
      <c r="I106" s="138">
        <v>1.59</v>
      </c>
      <c r="J106" s="138">
        <v>584.63</v>
      </c>
      <c r="K106" s="138">
        <v>1.56</v>
      </c>
    </row>
    <row r="107" spans="1:11" x14ac:dyDescent="0.25">
      <c r="A107" s="139" t="s">
        <v>264</v>
      </c>
      <c r="B107" s="139" t="s">
        <v>337</v>
      </c>
      <c r="C107" s="140">
        <v>18</v>
      </c>
      <c r="D107" s="139" t="s">
        <v>270</v>
      </c>
      <c r="E107" s="140">
        <v>76762250</v>
      </c>
      <c r="F107" s="139" t="s">
        <v>268</v>
      </c>
      <c r="G107" s="139" t="s">
        <v>134</v>
      </c>
      <c r="H107" s="140">
        <v>14.94</v>
      </c>
      <c r="I107" s="140">
        <v>1.4</v>
      </c>
      <c r="J107" s="140">
        <v>584.63</v>
      </c>
      <c r="K107" s="140">
        <v>1.56</v>
      </c>
    </row>
    <row r="108" spans="1:11" x14ac:dyDescent="0.25">
      <c r="A108" s="137" t="s">
        <v>264</v>
      </c>
      <c r="B108" s="137" t="s">
        <v>337</v>
      </c>
      <c r="C108" s="138">
        <v>18</v>
      </c>
      <c r="D108" s="137" t="s">
        <v>270</v>
      </c>
      <c r="E108" s="138">
        <v>98001200</v>
      </c>
      <c r="F108" s="137" t="s">
        <v>269</v>
      </c>
      <c r="G108" s="137" t="s">
        <v>135</v>
      </c>
      <c r="H108" s="138">
        <v>21.65</v>
      </c>
      <c r="I108" s="138">
        <v>1.87</v>
      </c>
      <c r="J108" s="138">
        <v>584.63</v>
      </c>
      <c r="K108" s="138">
        <v>1.56</v>
      </c>
    </row>
    <row r="109" spans="1:11" x14ac:dyDescent="0.25">
      <c r="A109" s="139" t="s">
        <v>264</v>
      </c>
      <c r="B109" s="139" t="s">
        <v>337</v>
      </c>
      <c r="C109" s="140">
        <v>18</v>
      </c>
      <c r="D109" s="139" t="s">
        <v>270</v>
      </c>
      <c r="E109" s="140">
        <v>76265736</v>
      </c>
      <c r="F109" s="139" t="s">
        <v>267</v>
      </c>
      <c r="G109" s="139" t="s">
        <v>136</v>
      </c>
      <c r="H109" s="140">
        <v>173</v>
      </c>
      <c r="I109" s="140">
        <v>2.48</v>
      </c>
      <c r="J109" s="140">
        <v>584.63</v>
      </c>
      <c r="K109" s="140">
        <v>1.56</v>
      </c>
    </row>
    <row r="110" spans="1:11" x14ac:dyDescent="0.25">
      <c r="A110" s="137" t="s">
        <v>264</v>
      </c>
      <c r="B110" s="137" t="s">
        <v>337</v>
      </c>
      <c r="C110" s="138">
        <v>19</v>
      </c>
      <c r="D110" s="137" t="s">
        <v>284</v>
      </c>
      <c r="E110" s="138">
        <v>98000000</v>
      </c>
      <c r="F110" s="137" t="s">
        <v>265</v>
      </c>
      <c r="G110" s="137" t="s">
        <v>131</v>
      </c>
      <c r="H110" s="138"/>
      <c r="I110" s="138"/>
      <c r="J110" s="138"/>
      <c r="K110" s="138"/>
    </row>
    <row r="111" spans="1:11" x14ac:dyDescent="0.25">
      <c r="A111" s="139" t="s">
        <v>264</v>
      </c>
      <c r="B111" s="139" t="s">
        <v>337</v>
      </c>
      <c r="C111" s="140">
        <v>19</v>
      </c>
      <c r="D111" s="139" t="s">
        <v>284</v>
      </c>
      <c r="E111" s="140">
        <v>76240079</v>
      </c>
      <c r="F111" s="139" t="s">
        <v>266</v>
      </c>
      <c r="G111" s="139" t="s">
        <v>132</v>
      </c>
      <c r="H111" s="140"/>
      <c r="I111" s="140"/>
      <c r="J111" s="140"/>
      <c r="K111" s="140"/>
    </row>
    <row r="112" spans="1:11" x14ac:dyDescent="0.25">
      <c r="A112" s="137" t="s">
        <v>264</v>
      </c>
      <c r="B112" s="137" t="s">
        <v>337</v>
      </c>
      <c r="C112" s="138">
        <v>19</v>
      </c>
      <c r="D112" s="137" t="s">
        <v>284</v>
      </c>
      <c r="E112" s="138">
        <v>98000100</v>
      </c>
      <c r="F112" s="137" t="s">
        <v>267</v>
      </c>
      <c r="G112" s="137" t="s">
        <v>133</v>
      </c>
      <c r="H112" s="138"/>
      <c r="I112" s="138"/>
      <c r="J112" s="138"/>
      <c r="K112" s="138"/>
    </row>
    <row r="113" spans="1:11" x14ac:dyDescent="0.25">
      <c r="A113" s="139" t="s">
        <v>264</v>
      </c>
      <c r="B113" s="139" t="s">
        <v>337</v>
      </c>
      <c r="C113" s="140">
        <v>19</v>
      </c>
      <c r="D113" s="139" t="s">
        <v>284</v>
      </c>
      <c r="E113" s="140">
        <v>76762250</v>
      </c>
      <c r="F113" s="139" t="s">
        <v>268</v>
      </c>
      <c r="G113" s="139" t="s">
        <v>134</v>
      </c>
      <c r="H113" s="140"/>
      <c r="I113" s="140"/>
      <c r="J113" s="140"/>
      <c r="K113" s="140"/>
    </row>
    <row r="114" spans="1:11" x14ac:dyDescent="0.25">
      <c r="A114" s="137" t="s">
        <v>264</v>
      </c>
      <c r="B114" s="137" t="s">
        <v>337</v>
      </c>
      <c r="C114" s="138">
        <v>19</v>
      </c>
      <c r="D114" s="137" t="s">
        <v>284</v>
      </c>
      <c r="E114" s="138">
        <v>98001200</v>
      </c>
      <c r="F114" s="137" t="s">
        <v>269</v>
      </c>
      <c r="G114" s="137" t="s">
        <v>135</v>
      </c>
      <c r="H114" s="138"/>
      <c r="I114" s="138"/>
      <c r="J114" s="138"/>
      <c r="K114" s="138"/>
    </row>
    <row r="115" spans="1:11" x14ac:dyDescent="0.25">
      <c r="A115" s="139" t="s">
        <v>264</v>
      </c>
      <c r="B115" s="139" t="s">
        <v>337</v>
      </c>
      <c r="C115" s="140">
        <v>19</v>
      </c>
      <c r="D115" s="139" t="s">
        <v>284</v>
      </c>
      <c r="E115" s="140">
        <v>76265736</v>
      </c>
      <c r="F115" s="139" t="s">
        <v>267</v>
      </c>
      <c r="G115" s="139" t="s">
        <v>136</v>
      </c>
      <c r="H115" s="140"/>
      <c r="I115" s="140"/>
      <c r="J115" s="140"/>
      <c r="K115" s="140"/>
    </row>
    <row r="116" spans="1:11" x14ac:dyDescent="0.25">
      <c r="A116" s="137" t="s">
        <v>264</v>
      </c>
      <c r="B116" s="137" t="s">
        <v>337</v>
      </c>
      <c r="C116" s="138">
        <v>20</v>
      </c>
      <c r="D116" s="137" t="s">
        <v>285</v>
      </c>
      <c r="E116" s="138">
        <v>98000000</v>
      </c>
      <c r="F116" s="137" t="s">
        <v>265</v>
      </c>
      <c r="G116" s="137" t="s">
        <v>131</v>
      </c>
      <c r="H116" s="138">
        <v>82.49</v>
      </c>
      <c r="I116" s="138">
        <v>1.18</v>
      </c>
      <c r="J116" s="138">
        <v>584.63</v>
      </c>
      <c r="K116" s="138">
        <v>1.56</v>
      </c>
    </row>
    <row r="117" spans="1:11" x14ac:dyDescent="0.25">
      <c r="A117" s="139" t="s">
        <v>264</v>
      </c>
      <c r="B117" s="139" t="s">
        <v>337</v>
      </c>
      <c r="C117" s="140">
        <v>20</v>
      </c>
      <c r="D117" s="139" t="s">
        <v>285</v>
      </c>
      <c r="E117" s="140">
        <v>76240079</v>
      </c>
      <c r="F117" s="139" t="s">
        <v>266</v>
      </c>
      <c r="G117" s="139" t="s">
        <v>132</v>
      </c>
      <c r="H117" s="140">
        <v>120.46</v>
      </c>
      <c r="I117" s="140">
        <v>1.1499999999999999</v>
      </c>
      <c r="J117" s="140">
        <v>584.63</v>
      </c>
      <c r="K117" s="140">
        <v>1.56</v>
      </c>
    </row>
    <row r="118" spans="1:11" x14ac:dyDescent="0.25">
      <c r="A118" s="137" t="s">
        <v>264</v>
      </c>
      <c r="B118" s="137" t="s">
        <v>337</v>
      </c>
      <c r="C118" s="138">
        <v>20</v>
      </c>
      <c r="D118" s="137" t="s">
        <v>285</v>
      </c>
      <c r="E118" s="138">
        <v>98000100</v>
      </c>
      <c r="F118" s="137" t="s">
        <v>267</v>
      </c>
      <c r="G118" s="137" t="s">
        <v>133</v>
      </c>
      <c r="H118" s="138">
        <v>172.09</v>
      </c>
      <c r="I118" s="138">
        <v>1.59</v>
      </c>
      <c r="J118" s="138">
        <v>584.63</v>
      </c>
      <c r="K118" s="138">
        <v>1.56</v>
      </c>
    </row>
    <row r="119" spans="1:11" x14ac:dyDescent="0.25">
      <c r="A119" s="139" t="s">
        <v>264</v>
      </c>
      <c r="B119" s="139" t="s">
        <v>337</v>
      </c>
      <c r="C119" s="140">
        <v>20</v>
      </c>
      <c r="D119" s="139" t="s">
        <v>285</v>
      </c>
      <c r="E119" s="140">
        <v>76762250</v>
      </c>
      <c r="F119" s="139" t="s">
        <v>268</v>
      </c>
      <c r="G119" s="139" t="s">
        <v>134</v>
      </c>
      <c r="H119" s="140">
        <v>14.94</v>
      </c>
      <c r="I119" s="140">
        <v>1.4</v>
      </c>
      <c r="J119" s="140">
        <v>584.63</v>
      </c>
      <c r="K119" s="140">
        <v>1.56</v>
      </c>
    </row>
    <row r="120" spans="1:11" x14ac:dyDescent="0.25">
      <c r="A120" s="137" t="s">
        <v>264</v>
      </c>
      <c r="B120" s="137" t="s">
        <v>337</v>
      </c>
      <c r="C120" s="138">
        <v>20</v>
      </c>
      <c r="D120" s="137" t="s">
        <v>285</v>
      </c>
      <c r="E120" s="138">
        <v>98001200</v>
      </c>
      <c r="F120" s="137" t="s">
        <v>269</v>
      </c>
      <c r="G120" s="137" t="s">
        <v>135</v>
      </c>
      <c r="H120" s="138">
        <v>21.65</v>
      </c>
      <c r="I120" s="138">
        <v>1.87</v>
      </c>
      <c r="J120" s="138">
        <v>584.63</v>
      </c>
      <c r="K120" s="138">
        <v>1.56</v>
      </c>
    </row>
    <row r="121" spans="1:11" x14ac:dyDescent="0.25">
      <c r="A121" s="139" t="s">
        <v>264</v>
      </c>
      <c r="B121" s="139" t="s">
        <v>337</v>
      </c>
      <c r="C121" s="140">
        <v>20</v>
      </c>
      <c r="D121" s="139" t="s">
        <v>285</v>
      </c>
      <c r="E121" s="140">
        <v>76265736</v>
      </c>
      <c r="F121" s="139" t="s">
        <v>267</v>
      </c>
      <c r="G121" s="139" t="s">
        <v>136</v>
      </c>
      <c r="H121" s="140">
        <v>173</v>
      </c>
      <c r="I121" s="140">
        <v>2.48</v>
      </c>
      <c r="J121" s="140">
        <v>584.63</v>
      </c>
      <c r="K121" s="140">
        <v>1.56</v>
      </c>
    </row>
    <row r="122" spans="1:11" x14ac:dyDescent="0.25">
      <c r="A122" s="137" t="s">
        <v>264</v>
      </c>
      <c r="B122" s="137" t="s">
        <v>337</v>
      </c>
      <c r="C122" s="138">
        <v>21</v>
      </c>
      <c r="D122" s="137" t="s">
        <v>272</v>
      </c>
      <c r="E122" s="138">
        <v>98000000</v>
      </c>
      <c r="F122" s="137" t="s">
        <v>265</v>
      </c>
      <c r="G122" s="137" t="s">
        <v>131</v>
      </c>
      <c r="H122" s="138">
        <v>486.87</v>
      </c>
      <c r="I122" s="138">
        <v>6.97</v>
      </c>
      <c r="J122" s="138">
        <v>3277.92</v>
      </c>
      <c r="K122" s="138">
        <v>8.76</v>
      </c>
    </row>
    <row r="123" spans="1:11" x14ac:dyDescent="0.25">
      <c r="A123" s="139" t="s">
        <v>264</v>
      </c>
      <c r="B123" s="139" t="s">
        <v>337</v>
      </c>
      <c r="C123" s="140">
        <v>21</v>
      </c>
      <c r="D123" s="139" t="s">
        <v>272</v>
      </c>
      <c r="E123" s="140">
        <v>76240079</v>
      </c>
      <c r="F123" s="139" t="s">
        <v>266</v>
      </c>
      <c r="G123" s="139" t="s">
        <v>132</v>
      </c>
      <c r="H123" s="140">
        <v>1077.96</v>
      </c>
      <c r="I123" s="140">
        <v>10.33</v>
      </c>
      <c r="J123" s="140">
        <v>3277.92</v>
      </c>
      <c r="K123" s="140">
        <v>8.76</v>
      </c>
    </row>
    <row r="124" spans="1:11" x14ac:dyDescent="0.25">
      <c r="A124" s="137" t="s">
        <v>264</v>
      </c>
      <c r="B124" s="137" t="s">
        <v>337</v>
      </c>
      <c r="C124" s="138">
        <v>21</v>
      </c>
      <c r="D124" s="137" t="s">
        <v>272</v>
      </c>
      <c r="E124" s="138">
        <v>98000100</v>
      </c>
      <c r="F124" s="137" t="s">
        <v>267</v>
      </c>
      <c r="G124" s="137" t="s">
        <v>133</v>
      </c>
      <c r="H124" s="138">
        <v>1238.24</v>
      </c>
      <c r="I124" s="138">
        <v>11.47</v>
      </c>
      <c r="J124" s="138">
        <v>3277.92</v>
      </c>
      <c r="K124" s="138">
        <v>8.76</v>
      </c>
    </row>
    <row r="125" spans="1:11" x14ac:dyDescent="0.25">
      <c r="A125" s="139" t="s">
        <v>264</v>
      </c>
      <c r="B125" s="139" t="s">
        <v>337</v>
      </c>
      <c r="C125" s="140">
        <v>21</v>
      </c>
      <c r="D125" s="139" t="s">
        <v>272</v>
      </c>
      <c r="E125" s="140">
        <v>76762250</v>
      </c>
      <c r="F125" s="139" t="s">
        <v>268</v>
      </c>
      <c r="G125" s="139" t="s">
        <v>134</v>
      </c>
      <c r="H125" s="140">
        <v>111.97</v>
      </c>
      <c r="I125" s="140">
        <v>10.5</v>
      </c>
      <c r="J125" s="140">
        <v>3277.92</v>
      </c>
      <c r="K125" s="140">
        <v>8.76</v>
      </c>
    </row>
    <row r="126" spans="1:11" x14ac:dyDescent="0.25">
      <c r="A126" s="137" t="s">
        <v>264</v>
      </c>
      <c r="B126" s="137" t="s">
        <v>337</v>
      </c>
      <c r="C126" s="138">
        <v>21</v>
      </c>
      <c r="D126" s="137" t="s">
        <v>272</v>
      </c>
      <c r="E126" s="138">
        <v>98001200</v>
      </c>
      <c r="F126" s="137" t="s">
        <v>269</v>
      </c>
      <c r="G126" s="137" t="s">
        <v>135</v>
      </c>
      <c r="H126" s="138">
        <v>80.41</v>
      </c>
      <c r="I126" s="138">
        <v>6.93</v>
      </c>
      <c r="J126" s="138">
        <v>3277.92</v>
      </c>
      <c r="K126" s="138">
        <v>8.76</v>
      </c>
    </row>
    <row r="127" spans="1:11" x14ac:dyDescent="0.25">
      <c r="A127" s="139" t="s">
        <v>264</v>
      </c>
      <c r="B127" s="139" t="s">
        <v>337</v>
      </c>
      <c r="C127" s="140">
        <v>21</v>
      </c>
      <c r="D127" s="139" t="s">
        <v>272</v>
      </c>
      <c r="E127" s="140">
        <v>76265736</v>
      </c>
      <c r="F127" s="139" t="s">
        <v>267</v>
      </c>
      <c r="G127" s="139" t="s">
        <v>136</v>
      </c>
      <c r="H127" s="140">
        <v>282.47000000000003</v>
      </c>
      <c r="I127" s="140">
        <v>4.04</v>
      </c>
      <c r="J127" s="140">
        <v>3277.92</v>
      </c>
      <c r="K127" s="140">
        <v>8.76</v>
      </c>
    </row>
    <row r="128" spans="1:11" x14ac:dyDescent="0.25">
      <c r="A128" s="137" t="s">
        <v>264</v>
      </c>
      <c r="B128" s="137" t="s">
        <v>337</v>
      </c>
      <c r="C128" s="138">
        <v>22</v>
      </c>
      <c r="D128" s="137" t="s">
        <v>282</v>
      </c>
      <c r="E128" s="138">
        <v>98000000</v>
      </c>
      <c r="F128" s="137" t="s">
        <v>265</v>
      </c>
      <c r="G128" s="137" t="s">
        <v>131</v>
      </c>
      <c r="H128" s="138">
        <v>1.55</v>
      </c>
      <c r="I128" s="138">
        <v>0.02</v>
      </c>
      <c r="J128" s="138">
        <v>27.02</v>
      </c>
      <c r="K128" s="138">
        <v>7.0000000000000007E-2</v>
      </c>
    </row>
    <row r="129" spans="1:11" x14ac:dyDescent="0.25">
      <c r="A129" s="139" t="s">
        <v>264</v>
      </c>
      <c r="B129" s="139" t="s">
        <v>337</v>
      </c>
      <c r="C129" s="140">
        <v>22</v>
      </c>
      <c r="D129" s="139" t="s">
        <v>282</v>
      </c>
      <c r="E129" s="140">
        <v>76240079</v>
      </c>
      <c r="F129" s="139" t="s">
        <v>266</v>
      </c>
      <c r="G129" s="139" t="s">
        <v>132</v>
      </c>
      <c r="H129" s="140">
        <v>5</v>
      </c>
      <c r="I129" s="140">
        <v>0.05</v>
      </c>
      <c r="J129" s="140">
        <v>27.02</v>
      </c>
      <c r="K129" s="140">
        <v>7.0000000000000007E-2</v>
      </c>
    </row>
    <row r="130" spans="1:11" x14ac:dyDescent="0.25">
      <c r="A130" s="137" t="s">
        <v>264</v>
      </c>
      <c r="B130" s="137" t="s">
        <v>337</v>
      </c>
      <c r="C130" s="138">
        <v>22</v>
      </c>
      <c r="D130" s="137" t="s">
        <v>282</v>
      </c>
      <c r="E130" s="138">
        <v>98000100</v>
      </c>
      <c r="F130" s="137" t="s">
        <v>267</v>
      </c>
      <c r="G130" s="137" t="s">
        <v>133</v>
      </c>
      <c r="H130" s="138">
        <v>18.170000000000002</v>
      </c>
      <c r="I130" s="138">
        <v>0.17</v>
      </c>
      <c r="J130" s="138">
        <v>27.02</v>
      </c>
      <c r="K130" s="138">
        <v>7.0000000000000007E-2</v>
      </c>
    </row>
    <row r="131" spans="1:11" x14ac:dyDescent="0.25">
      <c r="A131" s="139" t="s">
        <v>264</v>
      </c>
      <c r="B131" s="139" t="s">
        <v>337</v>
      </c>
      <c r="C131" s="140">
        <v>22</v>
      </c>
      <c r="D131" s="139" t="s">
        <v>282</v>
      </c>
      <c r="E131" s="140">
        <v>76762250</v>
      </c>
      <c r="F131" s="139" t="s">
        <v>268</v>
      </c>
      <c r="G131" s="139" t="s">
        <v>134</v>
      </c>
      <c r="H131" s="140"/>
      <c r="I131" s="140"/>
      <c r="J131" s="140">
        <v>27.02</v>
      </c>
      <c r="K131" s="140">
        <v>7.0000000000000007E-2</v>
      </c>
    </row>
    <row r="132" spans="1:11" x14ac:dyDescent="0.25">
      <c r="A132" s="137" t="s">
        <v>264</v>
      </c>
      <c r="B132" s="137" t="s">
        <v>337</v>
      </c>
      <c r="C132" s="138">
        <v>22</v>
      </c>
      <c r="D132" s="137" t="s">
        <v>282</v>
      </c>
      <c r="E132" s="138">
        <v>98001200</v>
      </c>
      <c r="F132" s="137" t="s">
        <v>269</v>
      </c>
      <c r="G132" s="137" t="s">
        <v>135</v>
      </c>
      <c r="H132" s="138"/>
      <c r="I132" s="138"/>
      <c r="J132" s="138">
        <v>27.02</v>
      </c>
      <c r="K132" s="138">
        <v>7.0000000000000007E-2</v>
      </c>
    </row>
    <row r="133" spans="1:11" x14ac:dyDescent="0.25">
      <c r="A133" s="139" t="s">
        <v>264</v>
      </c>
      <c r="B133" s="139" t="s">
        <v>337</v>
      </c>
      <c r="C133" s="140">
        <v>22</v>
      </c>
      <c r="D133" s="139" t="s">
        <v>282</v>
      </c>
      <c r="E133" s="140">
        <v>76265736</v>
      </c>
      <c r="F133" s="139" t="s">
        <v>267</v>
      </c>
      <c r="G133" s="139" t="s">
        <v>136</v>
      </c>
      <c r="H133" s="140">
        <v>2.2999999999999998</v>
      </c>
      <c r="I133" s="140">
        <v>0.03</v>
      </c>
      <c r="J133" s="140">
        <v>27.02</v>
      </c>
      <c r="K133" s="140">
        <v>7.0000000000000007E-2</v>
      </c>
    </row>
    <row r="134" spans="1:11" x14ac:dyDescent="0.25">
      <c r="A134" s="137" t="s">
        <v>264</v>
      </c>
      <c r="B134" s="137" t="s">
        <v>337</v>
      </c>
      <c r="C134" s="138">
        <v>23</v>
      </c>
      <c r="D134" s="137" t="s">
        <v>286</v>
      </c>
      <c r="E134" s="138">
        <v>98000000</v>
      </c>
      <c r="F134" s="137" t="s">
        <v>265</v>
      </c>
      <c r="G134" s="137" t="s">
        <v>131</v>
      </c>
      <c r="H134" s="138">
        <v>0.09</v>
      </c>
      <c r="I134" s="138">
        <v>0</v>
      </c>
      <c r="J134" s="138">
        <v>0.77</v>
      </c>
      <c r="K134" s="138">
        <v>0</v>
      </c>
    </row>
    <row r="135" spans="1:11" x14ac:dyDescent="0.25">
      <c r="A135" s="139" t="s">
        <v>264</v>
      </c>
      <c r="B135" s="139" t="s">
        <v>337</v>
      </c>
      <c r="C135" s="140">
        <v>23</v>
      </c>
      <c r="D135" s="139" t="s">
        <v>286</v>
      </c>
      <c r="E135" s="140">
        <v>76240079</v>
      </c>
      <c r="F135" s="139" t="s">
        <v>266</v>
      </c>
      <c r="G135" s="139" t="s">
        <v>132</v>
      </c>
      <c r="H135" s="140">
        <v>0.12</v>
      </c>
      <c r="I135" s="140">
        <v>0</v>
      </c>
      <c r="J135" s="140">
        <v>0.77</v>
      </c>
      <c r="K135" s="140">
        <v>0</v>
      </c>
    </row>
    <row r="136" spans="1:11" x14ac:dyDescent="0.25">
      <c r="A136" s="137" t="s">
        <v>264</v>
      </c>
      <c r="B136" s="137" t="s">
        <v>337</v>
      </c>
      <c r="C136" s="138">
        <v>23</v>
      </c>
      <c r="D136" s="137" t="s">
        <v>286</v>
      </c>
      <c r="E136" s="138">
        <v>98000100</v>
      </c>
      <c r="F136" s="137" t="s">
        <v>267</v>
      </c>
      <c r="G136" s="137" t="s">
        <v>133</v>
      </c>
      <c r="H136" s="138">
        <v>0</v>
      </c>
      <c r="I136" s="138">
        <v>0</v>
      </c>
      <c r="J136" s="138">
        <v>0.77</v>
      </c>
      <c r="K136" s="138">
        <v>0</v>
      </c>
    </row>
    <row r="137" spans="1:11" x14ac:dyDescent="0.25">
      <c r="A137" s="139" t="s">
        <v>264</v>
      </c>
      <c r="B137" s="139" t="s">
        <v>337</v>
      </c>
      <c r="C137" s="140">
        <v>23</v>
      </c>
      <c r="D137" s="139" t="s">
        <v>286</v>
      </c>
      <c r="E137" s="140">
        <v>76762250</v>
      </c>
      <c r="F137" s="139" t="s">
        <v>268</v>
      </c>
      <c r="G137" s="139" t="s">
        <v>134</v>
      </c>
      <c r="H137" s="140">
        <v>0</v>
      </c>
      <c r="I137" s="140">
        <v>0</v>
      </c>
      <c r="J137" s="140">
        <v>0.77</v>
      </c>
      <c r="K137" s="140">
        <v>0</v>
      </c>
    </row>
    <row r="138" spans="1:11" x14ac:dyDescent="0.25">
      <c r="A138" s="137" t="s">
        <v>264</v>
      </c>
      <c r="B138" s="137" t="s">
        <v>337</v>
      </c>
      <c r="C138" s="138">
        <v>23</v>
      </c>
      <c r="D138" s="137" t="s">
        <v>286</v>
      </c>
      <c r="E138" s="138">
        <v>98001200</v>
      </c>
      <c r="F138" s="137" t="s">
        <v>269</v>
      </c>
      <c r="G138" s="137" t="s">
        <v>135</v>
      </c>
      <c r="H138" s="138">
        <v>0.02</v>
      </c>
      <c r="I138" s="138">
        <v>0</v>
      </c>
      <c r="J138" s="138">
        <v>0.77</v>
      </c>
      <c r="K138" s="138">
        <v>0</v>
      </c>
    </row>
    <row r="139" spans="1:11" x14ac:dyDescent="0.25">
      <c r="A139" s="139" t="s">
        <v>264</v>
      </c>
      <c r="B139" s="139" t="s">
        <v>337</v>
      </c>
      <c r="C139" s="140">
        <v>23</v>
      </c>
      <c r="D139" s="139" t="s">
        <v>286</v>
      </c>
      <c r="E139" s="140">
        <v>76265736</v>
      </c>
      <c r="F139" s="139" t="s">
        <v>267</v>
      </c>
      <c r="G139" s="139" t="s">
        <v>136</v>
      </c>
      <c r="H139" s="140">
        <v>0.54</v>
      </c>
      <c r="I139" s="140">
        <v>0.01</v>
      </c>
      <c r="J139" s="140">
        <v>0.77</v>
      </c>
      <c r="K139" s="140">
        <v>0</v>
      </c>
    </row>
    <row r="140" spans="1:11" x14ac:dyDescent="0.25">
      <c r="A140" s="137" t="s">
        <v>264</v>
      </c>
      <c r="B140" s="137" t="s">
        <v>337</v>
      </c>
      <c r="C140" s="138">
        <v>24</v>
      </c>
      <c r="D140" s="137" t="s">
        <v>16</v>
      </c>
      <c r="E140" s="138">
        <v>98000000</v>
      </c>
      <c r="F140" s="137" t="s">
        <v>265</v>
      </c>
      <c r="G140" s="137" t="s">
        <v>131</v>
      </c>
      <c r="H140" s="138">
        <v>6981.58</v>
      </c>
      <c r="I140" s="138">
        <v>100</v>
      </c>
      <c r="J140" s="138">
        <v>37432.43</v>
      </c>
      <c r="K140" s="138">
        <v>100</v>
      </c>
    </row>
    <row r="141" spans="1:11" x14ac:dyDescent="0.25">
      <c r="A141" s="139" t="s">
        <v>264</v>
      </c>
      <c r="B141" s="139" t="s">
        <v>337</v>
      </c>
      <c r="C141" s="140">
        <v>24</v>
      </c>
      <c r="D141" s="139" t="s">
        <v>16</v>
      </c>
      <c r="E141" s="140">
        <v>76240079</v>
      </c>
      <c r="F141" s="139" t="s">
        <v>266</v>
      </c>
      <c r="G141" s="139" t="s">
        <v>132</v>
      </c>
      <c r="H141" s="140">
        <v>10438.91</v>
      </c>
      <c r="I141" s="140">
        <v>100</v>
      </c>
      <c r="J141" s="140">
        <v>37432.43</v>
      </c>
      <c r="K141" s="140">
        <v>100</v>
      </c>
    </row>
    <row r="142" spans="1:11" x14ac:dyDescent="0.25">
      <c r="A142" s="137" t="s">
        <v>264</v>
      </c>
      <c r="B142" s="137" t="s">
        <v>337</v>
      </c>
      <c r="C142" s="138">
        <v>24</v>
      </c>
      <c r="D142" s="137" t="s">
        <v>16</v>
      </c>
      <c r="E142" s="138">
        <v>98000100</v>
      </c>
      <c r="F142" s="137" t="s">
        <v>267</v>
      </c>
      <c r="G142" s="137" t="s">
        <v>133</v>
      </c>
      <c r="H142" s="138">
        <v>10795.94</v>
      </c>
      <c r="I142" s="138">
        <v>100</v>
      </c>
      <c r="J142" s="138">
        <v>37432.43</v>
      </c>
      <c r="K142" s="138">
        <v>100</v>
      </c>
    </row>
    <row r="143" spans="1:11" x14ac:dyDescent="0.25">
      <c r="A143" s="139" t="s">
        <v>264</v>
      </c>
      <c r="B143" s="139" t="s">
        <v>337</v>
      </c>
      <c r="C143" s="140">
        <v>24</v>
      </c>
      <c r="D143" s="139" t="s">
        <v>16</v>
      </c>
      <c r="E143" s="140">
        <v>76762250</v>
      </c>
      <c r="F143" s="139" t="s">
        <v>268</v>
      </c>
      <c r="G143" s="139" t="s">
        <v>134</v>
      </c>
      <c r="H143" s="140">
        <v>1066.8699999999999</v>
      </c>
      <c r="I143" s="140">
        <v>100</v>
      </c>
      <c r="J143" s="140">
        <v>37432.43</v>
      </c>
      <c r="K143" s="140">
        <v>100</v>
      </c>
    </row>
    <row r="144" spans="1:11" x14ac:dyDescent="0.25">
      <c r="A144" s="137" t="s">
        <v>264</v>
      </c>
      <c r="B144" s="137" t="s">
        <v>337</v>
      </c>
      <c r="C144" s="138">
        <v>24</v>
      </c>
      <c r="D144" s="137" t="s">
        <v>16</v>
      </c>
      <c r="E144" s="138">
        <v>98001200</v>
      </c>
      <c r="F144" s="137" t="s">
        <v>269</v>
      </c>
      <c r="G144" s="137" t="s">
        <v>135</v>
      </c>
      <c r="H144" s="138">
        <v>1160</v>
      </c>
      <c r="I144" s="138">
        <v>100</v>
      </c>
      <c r="J144" s="138">
        <v>37432.43</v>
      </c>
      <c r="K144" s="138">
        <v>100</v>
      </c>
    </row>
    <row r="145" spans="1:11" x14ac:dyDescent="0.25">
      <c r="A145" s="139" t="s">
        <v>264</v>
      </c>
      <c r="B145" s="139" t="s">
        <v>337</v>
      </c>
      <c r="C145" s="140">
        <v>24</v>
      </c>
      <c r="D145" s="139" t="s">
        <v>16</v>
      </c>
      <c r="E145" s="140">
        <v>76265736</v>
      </c>
      <c r="F145" s="139" t="s">
        <v>267</v>
      </c>
      <c r="G145" s="139" t="s">
        <v>136</v>
      </c>
      <c r="H145" s="140">
        <v>6989.14</v>
      </c>
      <c r="I145" s="140">
        <v>100</v>
      </c>
      <c r="J145" s="140">
        <v>37432.43</v>
      </c>
      <c r="K145" s="140">
        <v>100</v>
      </c>
    </row>
    <row r="146" spans="1:11" x14ac:dyDescent="0.25">
      <c r="A146" s="137" t="s">
        <v>264</v>
      </c>
      <c r="B146" s="137" t="s">
        <v>337</v>
      </c>
      <c r="C146" s="138">
        <v>25</v>
      </c>
      <c r="D146" s="137" t="s">
        <v>17</v>
      </c>
      <c r="E146" s="138">
        <v>98000000</v>
      </c>
      <c r="F146" s="137" t="s">
        <v>265</v>
      </c>
      <c r="G146" s="137" t="s">
        <v>131</v>
      </c>
      <c r="H146" s="138">
        <v>174.46</v>
      </c>
      <c r="I146" s="138">
        <v>2.5</v>
      </c>
      <c r="J146" s="138">
        <v>990</v>
      </c>
      <c r="K146" s="138">
        <v>2.64</v>
      </c>
    </row>
    <row r="147" spans="1:11" x14ac:dyDescent="0.25">
      <c r="A147" s="139" t="s">
        <v>264</v>
      </c>
      <c r="B147" s="139" t="s">
        <v>337</v>
      </c>
      <c r="C147" s="140">
        <v>25</v>
      </c>
      <c r="D147" s="139" t="s">
        <v>17</v>
      </c>
      <c r="E147" s="140">
        <v>76240079</v>
      </c>
      <c r="F147" s="139" t="s">
        <v>266</v>
      </c>
      <c r="G147" s="139" t="s">
        <v>132</v>
      </c>
      <c r="H147" s="140">
        <v>223.46</v>
      </c>
      <c r="I147" s="140">
        <v>2.14</v>
      </c>
      <c r="J147" s="140">
        <v>990</v>
      </c>
      <c r="K147" s="140">
        <v>2.64</v>
      </c>
    </row>
    <row r="148" spans="1:11" x14ac:dyDescent="0.25">
      <c r="A148" s="137" t="s">
        <v>264</v>
      </c>
      <c r="B148" s="137" t="s">
        <v>337</v>
      </c>
      <c r="C148" s="138">
        <v>25</v>
      </c>
      <c r="D148" s="137" t="s">
        <v>17</v>
      </c>
      <c r="E148" s="138">
        <v>98000100</v>
      </c>
      <c r="F148" s="137" t="s">
        <v>267</v>
      </c>
      <c r="G148" s="137" t="s">
        <v>133</v>
      </c>
      <c r="H148" s="138">
        <v>286</v>
      </c>
      <c r="I148" s="138">
        <v>2.65</v>
      </c>
      <c r="J148" s="138">
        <v>990</v>
      </c>
      <c r="K148" s="138">
        <v>2.64</v>
      </c>
    </row>
    <row r="149" spans="1:11" x14ac:dyDescent="0.25">
      <c r="A149" s="139" t="s">
        <v>264</v>
      </c>
      <c r="B149" s="139" t="s">
        <v>337</v>
      </c>
      <c r="C149" s="140">
        <v>25</v>
      </c>
      <c r="D149" s="139" t="s">
        <v>17</v>
      </c>
      <c r="E149" s="140">
        <v>76762250</v>
      </c>
      <c r="F149" s="139" t="s">
        <v>268</v>
      </c>
      <c r="G149" s="139" t="s">
        <v>134</v>
      </c>
      <c r="H149" s="140">
        <v>26.71</v>
      </c>
      <c r="I149" s="140">
        <v>2.5</v>
      </c>
      <c r="J149" s="140">
        <v>990</v>
      </c>
      <c r="K149" s="140">
        <v>2.64</v>
      </c>
    </row>
    <row r="150" spans="1:11" x14ac:dyDescent="0.25">
      <c r="A150" s="137" t="s">
        <v>264</v>
      </c>
      <c r="B150" s="137" t="s">
        <v>337</v>
      </c>
      <c r="C150" s="138">
        <v>25</v>
      </c>
      <c r="D150" s="137" t="s">
        <v>17</v>
      </c>
      <c r="E150" s="138">
        <v>98001200</v>
      </c>
      <c r="F150" s="137" t="s">
        <v>269</v>
      </c>
      <c r="G150" s="137" t="s">
        <v>135</v>
      </c>
      <c r="H150" s="138">
        <v>31.4</v>
      </c>
      <c r="I150" s="138">
        <v>2.71</v>
      </c>
      <c r="J150" s="138">
        <v>990</v>
      </c>
      <c r="K150" s="138">
        <v>2.64</v>
      </c>
    </row>
    <row r="151" spans="1:11" x14ac:dyDescent="0.25">
      <c r="A151" s="139" t="s">
        <v>264</v>
      </c>
      <c r="B151" s="139" t="s">
        <v>337</v>
      </c>
      <c r="C151" s="140">
        <v>25</v>
      </c>
      <c r="D151" s="139" t="s">
        <v>17</v>
      </c>
      <c r="E151" s="140">
        <v>76265736</v>
      </c>
      <c r="F151" s="139" t="s">
        <v>267</v>
      </c>
      <c r="G151" s="139" t="s">
        <v>136</v>
      </c>
      <c r="H151" s="140">
        <v>247.97</v>
      </c>
      <c r="I151" s="140">
        <v>3.55</v>
      </c>
      <c r="J151" s="140">
        <v>990</v>
      </c>
      <c r="K151" s="140">
        <v>2.64</v>
      </c>
    </row>
    <row r="152" spans="1:11" x14ac:dyDescent="0.25">
      <c r="A152" s="137" t="s">
        <v>264</v>
      </c>
      <c r="B152" s="137" t="s">
        <v>337</v>
      </c>
      <c r="C152" s="138">
        <v>26</v>
      </c>
      <c r="D152" s="137" t="s">
        <v>18</v>
      </c>
      <c r="E152" s="138">
        <v>98000000</v>
      </c>
      <c r="F152" s="137" t="s">
        <v>265</v>
      </c>
      <c r="G152" s="137" t="s">
        <v>131</v>
      </c>
      <c r="H152" s="138">
        <v>6801.88</v>
      </c>
      <c r="I152" s="138">
        <v>97.43</v>
      </c>
      <c r="J152" s="138">
        <v>36340.1</v>
      </c>
      <c r="K152" s="138">
        <v>97.08</v>
      </c>
    </row>
    <row r="153" spans="1:11" x14ac:dyDescent="0.25">
      <c r="A153" s="139" t="s">
        <v>264</v>
      </c>
      <c r="B153" s="139" t="s">
        <v>337</v>
      </c>
      <c r="C153" s="140">
        <v>26</v>
      </c>
      <c r="D153" s="139" t="s">
        <v>18</v>
      </c>
      <c r="E153" s="140">
        <v>76240079</v>
      </c>
      <c r="F153" s="139" t="s">
        <v>266</v>
      </c>
      <c r="G153" s="139" t="s">
        <v>132</v>
      </c>
      <c r="H153" s="140">
        <v>10190.48</v>
      </c>
      <c r="I153" s="140">
        <v>97.62</v>
      </c>
      <c r="J153" s="140">
        <v>36340.1</v>
      </c>
      <c r="K153" s="140">
        <v>97.08</v>
      </c>
    </row>
    <row r="154" spans="1:11" x14ac:dyDescent="0.25">
      <c r="A154" s="137" t="s">
        <v>264</v>
      </c>
      <c r="B154" s="137" t="s">
        <v>337</v>
      </c>
      <c r="C154" s="138">
        <v>26</v>
      </c>
      <c r="D154" s="137" t="s">
        <v>18</v>
      </c>
      <c r="E154" s="138">
        <v>98000100</v>
      </c>
      <c r="F154" s="137" t="s">
        <v>267</v>
      </c>
      <c r="G154" s="137" t="s">
        <v>133</v>
      </c>
      <c r="H154" s="138">
        <v>10453.24</v>
      </c>
      <c r="I154" s="138">
        <v>96.83</v>
      </c>
      <c r="J154" s="138">
        <v>36340.1</v>
      </c>
      <c r="K154" s="138">
        <v>97.08</v>
      </c>
    </row>
    <row r="155" spans="1:11" x14ac:dyDescent="0.25">
      <c r="A155" s="139" t="s">
        <v>264</v>
      </c>
      <c r="B155" s="139" t="s">
        <v>337</v>
      </c>
      <c r="C155" s="140">
        <v>26</v>
      </c>
      <c r="D155" s="139" t="s">
        <v>18</v>
      </c>
      <c r="E155" s="140">
        <v>76762250</v>
      </c>
      <c r="F155" s="139" t="s">
        <v>268</v>
      </c>
      <c r="G155" s="139" t="s">
        <v>134</v>
      </c>
      <c r="H155" s="140">
        <v>1039.71</v>
      </c>
      <c r="I155" s="140">
        <v>97.45</v>
      </c>
      <c r="J155" s="140">
        <v>36340.1</v>
      </c>
      <c r="K155" s="140">
        <v>97.08</v>
      </c>
    </row>
    <row r="156" spans="1:11" x14ac:dyDescent="0.25">
      <c r="A156" s="137" t="s">
        <v>264</v>
      </c>
      <c r="B156" s="137" t="s">
        <v>337</v>
      </c>
      <c r="C156" s="138">
        <v>26</v>
      </c>
      <c r="D156" s="137" t="s">
        <v>18</v>
      </c>
      <c r="E156" s="138">
        <v>98001200</v>
      </c>
      <c r="F156" s="137" t="s">
        <v>269</v>
      </c>
      <c r="G156" s="137" t="s">
        <v>135</v>
      </c>
      <c r="H156" s="138">
        <v>1127.72</v>
      </c>
      <c r="I156" s="138">
        <v>97.22</v>
      </c>
      <c r="J156" s="138">
        <v>36340.1</v>
      </c>
      <c r="K156" s="138">
        <v>97.08</v>
      </c>
    </row>
    <row r="157" spans="1:11" x14ac:dyDescent="0.25">
      <c r="A157" s="139" t="s">
        <v>264</v>
      </c>
      <c r="B157" s="139" t="s">
        <v>337</v>
      </c>
      <c r="C157" s="140">
        <v>26</v>
      </c>
      <c r="D157" s="139" t="s">
        <v>18</v>
      </c>
      <c r="E157" s="140">
        <v>76265736</v>
      </c>
      <c r="F157" s="139" t="s">
        <v>267</v>
      </c>
      <c r="G157" s="139" t="s">
        <v>136</v>
      </c>
      <c r="H157" s="140">
        <v>6727.07</v>
      </c>
      <c r="I157" s="140">
        <v>96.25</v>
      </c>
      <c r="J157" s="140">
        <v>36340.1</v>
      </c>
      <c r="K157" s="140">
        <v>97.08</v>
      </c>
    </row>
    <row r="158" spans="1:11" x14ac:dyDescent="0.25">
      <c r="A158" s="137" t="s">
        <v>264</v>
      </c>
      <c r="B158" s="137" t="s">
        <v>337</v>
      </c>
      <c r="C158" s="138">
        <v>27</v>
      </c>
      <c r="D158" s="137" t="s">
        <v>19</v>
      </c>
      <c r="E158" s="138">
        <v>98000000</v>
      </c>
      <c r="F158" s="137" t="s">
        <v>265</v>
      </c>
      <c r="G158" s="137" t="s">
        <v>131</v>
      </c>
      <c r="H158" s="138">
        <v>4.7699999999999996</v>
      </c>
      <c r="I158" s="138">
        <v>7.0000000000000007E-2</v>
      </c>
      <c r="J158" s="138">
        <v>99.13</v>
      </c>
      <c r="K158" s="138">
        <v>0.26</v>
      </c>
    </row>
    <row r="159" spans="1:11" x14ac:dyDescent="0.25">
      <c r="A159" s="139" t="s">
        <v>264</v>
      </c>
      <c r="B159" s="139" t="s">
        <v>337</v>
      </c>
      <c r="C159" s="140">
        <v>27</v>
      </c>
      <c r="D159" s="139" t="s">
        <v>19</v>
      </c>
      <c r="E159" s="140">
        <v>76240079</v>
      </c>
      <c r="F159" s="139" t="s">
        <v>266</v>
      </c>
      <c r="G159" s="139" t="s">
        <v>132</v>
      </c>
      <c r="H159" s="140">
        <v>23.32</v>
      </c>
      <c r="I159" s="140">
        <v>0.22</v>
      </c>
      <c r="J159" s="140">
        <v>99.13</v>
      </c>
      <c r="K159" s="140">
        <v>0.26</v>
      </c>
    </row>
    <row r="160" spans="1:11" x14ac:dyDescent="0.25">
      <c r="A160" s="137" t="s">
        <v>264</v>
      </c>
      <c r="B160" s="137" t="s">
        <v>337</v>
      </c>
      <c r="C160" s="138">
        <v>27</v>
      </c>
      <c r="D160" s="137" t="s">
        <v>19</v>
      </c>
      <c r="E160" s="138">
        <v>98000100</v>
      </c>
      <c r="F160" s="137" t="s">
        <v>267</v>
      </c>
      <c r="G160" s="137" t="s">
        <v>133</v>
      </c>
      <c r="H160" s="138">
        <v>56.36</v>
      </c>
      <c r="I160" s="138">
        <v>0.52</v>
      </c>
      <c r="J160" s="138">
        <v>99.13</v>
      </c>
      <c r="K160" s="138">
        <v>0.26</v>
      </c>
    </row>
    <row r="161" spans="1:11" x14ac:dyDescent="0.25">
      <c r="A161" s="139" t="s">
        <v>264</v>
      </c>
      <c r="B161" s="139" t="s">
        <v>337</v>
      </c>
      <c r="C161" s="140">
        <v>27</v>
      </c>
      <c r="D161" s="139" t="s">
        <v>19</v>
      </c>
      <c r="E161" s="140">
        <v>76762250</v>
      </c>
      <c r="F161" s="139" t="s">
        <v>268</v>
      </c>
      <c r="G161" s="139" t="s">
        <v>134</v>
      </c>
      <c r="H161" s="140">
        <v>0.3</v>
      </c>
      <c r="I161" s="140">
        <v>0.03</v>
      </c>
      <c r="J161" s="140">
        <v>99.13</v>
      </c>
      <c r="K161" s="140">
        <v>0.26</v>
      </c>
    </row>
    <row r="162" spans="1:11" x14ac:dyDescent="0.25">
      <c r="A162" s="137" t="s">
        <v>264</v>
      </c>
      <c r="B162" s="137" t="s">
        <v>337</v>
      </c>
      <c r="C162" s="138">
        <v>27</v>
      </c>
      <c r="D162" s="137" t="s">
        <v>19</v>
      </c>
      <c r="E162" s="138">
        <v>98001200</v>
      </c>
      <c r="F162" s="137" t="s">
        <v>269</v>
      </c>
      <c r="G162" s="137" t="s">
        <v>135</v>
      </c>
      <c r="H162" s="138">
        <v>0.82</v>
      </c>
      <c r="I162" s="138">
        <v>7.0000000000000007E-2</v>
      </c>
      <c r="J162" s="138">
        <v>99.13</v>
      </c>
      <c r="K162" s="138">
        <v>0.26</v>
      </c>
    </row>
    <row r="163" spans="1:11" x14ac:dyDescent="0.25">
      <c r="A163" s="139" t="s">
        <v>264</v>
      </c>
      <c r="B163" s="139" t="s">
        <v>337</v>
      </c>
      <c r="C163" s="140">
        <v>27</v>
      </c>
      <c r="D163" s="139" t="s">
        <v>19</v>
      </c>
      <c r="E163" s="140">
        <v>76265736</v>
      </c>
      <c r="F163" s="139" t="s">
        <v>267</v>
      </c>
      <c r="G163" s="139" t="s">
        <v>136</v>
      </c>
      <c r="H163" s="140">
        <v>13.56</v>
      </c>
      <c r="I163" s="140">
        <v>0.19</v>
      </c>
      <c r="J163" s="140">
        <v>99.13</v>
      </c>
      <c r="K163" s="140">
        <v>0.26</v>
      </c>
    </row>
    <row r="164" spans="1:11" x14ac:dyDescent="0.25">
      <c r="A164" s="137" t="s">
        <v>264</v>
      </c>
      <c r="B164" s="137" t="s">
        <v>337</v>
      </c>
      <c r="C164" s="138">
        <v>28</v>
      </c>
      <c r="D164" s="137" t="s">
        <v>20</v>
      </c>
      <c r="E164" s="138">
        <v>98000000</v>
      </c>
      <c r="F164" s="137" t="s">
        <v>265</v>
      </c>
      <c r="G164" s="137" t="s">
        <v>131</v>
      </c>
      <c r="H164" s="138">
        <v>0.47</v>
      </c>
      <c r="I164" s="138">
        <v>0.01</v>
      </c>
      <c r="J164" s="138">
        <v>3.2</v>
      </c>
      <c r="K164" s="138">
        <v>0.01</v>
      </c>
    </row>
    <row r="165" spans="1:11" x14ac:dyDescent="0.25">
      <c r="A165" s="139" t="s">
        <v>264</v>
      </c>
      <c r="B165" s="139" t="s">
        <v>337</v>
      </c>
      <c r="C165" s="140">
        <v>28</v>
      </c>
      <c r="D165" s="139" t="s">
        <v>20</v>
      </c>
      <c r="E165" s="140">
        <v>76240079</v>
      </c>
      <c r="F165" s="139" t="s">
        <v>266</v>
      </c>
      <c r="G165" s="139" t="s">
        <v>132</v>
      </c>
      <c r="H165" s="140">
        <v>1.66</v>
      </c>
      <c r="I165" s="140">
        <v>0.02</v>
      </c>
      <c r="J165" s="140">
        <v>3.2</v>
      </c>
      <c r="K165" s="140">
        <v>0.01</v>
      </c>
    </row>
    <row r="166" spans="1:11" x14ac:dyDescent="0.25">
      <c r="A166" s="137" t="s">
        <v>264</v>
      </c>
      <c r="B166" s="137" t="s">
        <v>337</v>
      </c>
      <c r="C166" s="138">
        <v>28</v>
      </c>
      <c r="D166" s="137" t="s">
        <v>20</v>
      </c>
      <c r="E166" s="138">
        <v>98000100</v>
      </c>
      <c r="F166" s="137" t="s">
        <v>267</v>
      </c>
      <c r="G166" s="137" t="s">
        <v>133</v>
      </c>
      <c r="H166" s="138">
        <v>0.34</v>
      </c>
      <c r="I166" s="138">
        <v>0</v>
      </c>
      <c r="J166" s="138">
        <v>3.2</v>
      </c>
      <c r="K166" s="138">
        <v>0.01</v>
      </c>
    </row>
    <row r="167" spans="1:11" x14ac:dyDescent="0.25">
      <c r="A167" s="139" t="s">
        <v>264</v>
      </c>
      <c r="B167" s="139" t="s">
        <v>337</v>
      </c>
      <c r="C167" s="140">
        <v>28</v>
      </c>
      <c r="D167" s="139" t="s">
        <v>20</v>
      </c>
      <c r="E167" s="140">
        <v>76762250</v>
      </c>
      <c r="F167" s="139" t="s">
        <v>268</v>
      </c>
      <c r="G167" s="139" t="s">
        <v>134</v>
      </c>
      <c r="H167" s="140">
        <v>0.15</v>
      </c>
      <c r="I167" s="140">
        <v>0.01</v>
      </c>
      <c r="J167" s="140">
        <v>3.2</v>
      </c>
      <c r="K167" s="140">
        <v>0.01</v>
      </c>
    </row>
    <row r="168" spans="1:11" x14ac:dyDescent="0.25">
      <c r="A168" s="137" t="s">
        <v>264</v>
      </c>
      <c r="B168" s="137" t="s">
        <v>337</v>
      </c>
      <c r="C168" s="138">
        <v>28</v>
      </c>
      <c r="D168" s="137" t="s">
        <v>20</v>
      </c>
      <c r="E168" s="138">
        <v>98001200</v>
      </c>
      <c r="F168" s="137" t="s">
        <v>269</v>
      </c>
      <c r="G168" s="137" t="s">
        <v>135</v>
      </c>
      <c r="H168" s="138">
        <v>0.06</v>
      </c>
      <c r="I168" s="138">
        <v>0</v>
      </c>
      <c r="J168" s="138">
        <v>3.2</v>
      </c>
      <c r="K168" s="138">
        <v>0.01</v>
      </c>
    </row>
    <row r="169" spans="1:11" x14ac:dyDescent="0.25">
      <c r="A169" s="139" t="s">
        <v>264</v>
      </c>
      <c r="B169" s="139" t="s">
        <v>337</v>
      </c>
      <c r="C169" s="140">
        <v>28</v>
      </c>
      <c r="D169" s="139" t="s">
        <v>20</v>
      </c>
      <c r="E169" s="140">
        <v>76265736</v>
      </c>
      <c r="F169" s="139" t="s">
        <v>267</v>
      </c>
      <c r="G169" s="139" t="s">
        <v>136</v>
      </c>
      <c r="H169" s="140">
        <v>0.54</v>
      </c>
      <c r="I169" s="140">
        <v>0.01</v>
      </c>
      <c r="J169" s="140">
        <v>3.2</v>
      </c>
      <c r="K169" s="140">
        <v>0.01</v>
      </c>
    </row>
    <row r="170" spans="1:11" x14ac:dyDescent="0.25">
      <c r="A170" s="137" t="s">
        <v>264</v>
      </c>
      <c r="B170" s="137" t="s">
        <v>337</v>
      </c>
      <c r="C170" s="138"/>
      <c r="D170" s="137"/>
      <c r="E170" s="138"/>
      <c r="F170" s="137"/>
      <c r="G170" s="137"/>
      <c r="H170" s="138"/>
      <c r="I170" s="138"/>
      <c r="J170" s="138"/>
      <c r="K170" s="138"/>
    </row>
    <row r="171" spans="1:11" x14ac:dyDescent="0.25">
      <c r="A171" s="139" t="s">
        <v>264</v>
      </c>
      <c r="B171" s="139" t="s">
        <v>337</v>
      </c>
      <c r="C171" s="140"/>
      <c r="D171" s="139"/>
      <c r="E171" s="140"/>
      <c r="F171" s="139"/>
      <c r="G171" s="139"/>
      <c r="H171" s="140"/>
      <c r="I171" s="140"/>
      <c r="J171" s="140"/>
      <c r="K171" s="140"/>
    </row>
    <row r="172" spans="1:11" x14ac:dyDescent="0.25">
      <c r="A172" s="137" t="s">
        <v>264</v>
      </c>
      <c r="B172" s="137" t="s">
        <v>337</v>
      </c>
      <c r="C172" s="138"/>
      <c r="D172" s="137"/>
      <c r="E172" s="138"/>
      <c r="F172" s="137"/>
      <c r="G172" s="137"/>
      <c r="H172" s="138"/>
      <c r="I172" s="138"/>
      <c r="J172" s="138"/>
      <c r="K172" s="13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1:AW131"/>
  <sheetViews>
    <sheetView zoomScale="85" zoomScaleNormal="85" workbookViewId="0">
      <selection activeCell="I9" sqref="I9"/>
    </sheetView>
  </sheetViews>
  <sheetFormatPr baseColWidth="10" defaultRowHeight="15" x14ac:dyDescent="0.25"/>
  <sheetData>
    <row r="1" spans="3:49" ht="15.75" thickBot="1" x14ac:dyDescent="0.3"/>
    <row r="2" spans="3:49" ht="15.75" customHeight="1" thickBot="1" x14ac:dyDescent="0.3">
      <c r="T2" s="219" t="s">
        <v>142</v>
      </c>
      <c r="U2" s="219" t="s">
        <v>143</v>
      </c>
      <c r="V2" s="235" t="s">
        <v>140</v>
      </c>
      <c r="W2" s="236"/>
      <c r="X2" s="235" t="s">
        <v>149</v>
      </c>
      <c r="Y2" s="236"/>
      <c r="Z2" s="235" t="s">
        <v>150</v>
      </c>
      <c r="AA2" s="236"/>
      <c r="AB2" s="235" t="s">
        <v>151</v>
      </c>
      <c r="AC2" s="236"/>
      <c r="AD2" s="235" t="s">
        <v>28</v>
      </c>
      <c r="AE2" s="236"/>
      <c r="AF2" s="235" t="s">
        <v>137</v>
      </c>
      <c r="AG2" s="236"/>
    </row>
    <row r="3" spans="3:49" ht="27.75" thickBot="1" x14ac:dyDescent="0.3">
      <c r="C3" s="223" t="s">
        <v>131</v>
      </c>
      <c r="D3" s="224"/>
      <c r="E3" s="223" t="s">
        <v>132</v>
      </c>
      <c r="F3" s="224"/>
      <c r="G3" s="223" t="s">
        <v>133</v>
      </c>
      <c r="H3" s="224"/>
      <c r="I3" s="223" t="s">
        <v>134</v>
      </c>
      <c r="J3" s="224"/>
      <c r="K3" s="223" t="s">
        <v>135</v>
      </c>
      <c r="L3" s="224"/>
      <c r="M3" s="223" t="s">
        <v>136</v>
      </c>
      <c r="N3" s="224"/>
      <c r="O3" s="223" t="s">
        <v>137</v>
      </c>
      <c r="P3" s="224"/>
      <c r="Q3" s="96"/>
      <c r="T3" s="220"/>
      <c r="U3" s="220"/>
      <c r="V3" s="3" t="s">
        <v>54</v>
      </c>
      <c r="W3" s="3" t="s">
        <v>144</v>
      </c>
      <c r="X3" s="3" t="s">
        <v>54</v>
      </c>
      <c r="Y3" s="3" t="s">
        <v>144</v>
      </c>
      <c r="Z3" s="3" t="s">
        <v>54</v>
      </c>
      <c r="AA3" s="3" t="s">
        <v>144</v>
      </c>
      <c r="AB3" s="3" t="s">
        <v>54</v>
      </c>
      <c r="AC3" s="3" t="s">
        <v>144</v>
      </c>
      <c r="AD3" s="3" t="s">
        <v>54</v>
      </c>
      <c r="AE3" s="3" t="s">
        <v>144</v>
      </c>
      <c r="AF3" s="3" t="s">
        <v>54</v>
      </c>
      <c r="AG3" s="3" t="s">
        <v>144</v>
      </c>
    </row>
    <row r="4" spans="3:49" ht="41.25" thickBot="1" x14ac:dyDescent="0.3">
      <c r="C4" s="126" t="s">
        <v>138</v>
      </c>
      <c r="D4" s="126" t="s">
        <v>0</v>
      </c>
      <c r="E4" s="126" t="s">
        <v>138</v>
      </c>
      <c r="F4" s="126" t="s">
        <v>0</v>
      </c>
      <c r="G4" s="126" t="s">
        <v>138</v>
      </c>
      <c r="H4" s="126" t="s">
        <v>0</v>
      </c>
      <c r="I4" s="126" t="s">
        <v>138</v>
      </c>
      <c r="J4" s="126" t="s">
        <v>0</v>
      </c>
      <c r="K4" s="126" t="s">
        <v>138</v>
      </c>
      <c r="L4" s="126" t="s">
        <v>0</v>
      </c>
      <c r="M4" s="126" t="s">
        <v>138</v>
      </c>
      <c r="N4" s="126" t="s">
        <v>0</v>
      </c>
      <c r="O4" s="126" t="s">
        <v>138</v>
      </c>
      <c r="P4" s="126" t="s">
        <v>0</v>
      </c>
      <c r="Q4" s="127"/>
      <c r="T4" s="99" t="s">
        <v>148</v>
      </c>
      <c r="U4" s="240" t="s">
        <v>56</v>
      </c>
      <c r="V4" s="237">
        <v>0</v>
      </c>
      <c r="W4" s="237">
        <v>0.95</v>
      </c>
      <c r="X4" s="237">
        <v>0.01</v>
      </c>
      <c r="Y4" s="237">
        <v>0.95</v>
      </c>
      <c r="Z4" s="237">
        <v>0.01</v>
      </c>
      <c r="AA4" s="237">
        <v>0.95</v>
      </c>
      <c r="AB4" s="237">
        <v>0.01</v>
      </c>
      <c r="AC4" s="237">
        <v>0.95</v>
      </c>
      <c r="AD4" s="237" t="s">
        <v>139</v>
      </c>
      <c r="AE4" s="237" t="s">
        <v>139</v>
      </c>
      <c r="AF4" s="237">
        <v>0.01</v>
      </c>
      <c r="AG4" s="239">
        <v>0.95</v>
      </c>
      <c r="AI4" s="99" t="s">
        <v>1</v>
      </c>
      <c r="AJ4" s="100">
        <v>3735.51</v>
      </c>
      <c r="AK4" s="118">
        <v>92.52</v>
      </c>
      <c r="AL4" s="100">
        <v>6276.24</v>
      </c>
      <c r="AM4" s="118">
        <v>90.22</v>
      </c>
      <c r="AN4" s="100">
        <v>6344.15</v>
      </c>
      <c r="AO4" s="118">
        <v>94.77</v>
      </c>
      <c r="AP4" s="118">
        <v>433.6</v>
      </c>
      <c r="AQ4" s="118">
        <v>96.57</v>
      </c>
      <c r="AR4" s="118">
        <v>462.39</v>
      </c>
      <c r="AS4" s="118">
        <v>92.75</v>
      </c>
      <c r="AT4" s="100">
        <v>4299.5600000000004</v>
      </c>
      <c r="AU4" s="118">
        <v>93.31</v>
      </c>
      <c r="AV4" s="100">
        <v>21551.45</v>
      </c>
      <c r="AW4" s="119">
        <v>92.72</v>
      </c>
    </row>
    <row r="5" spans="3:49" ht="27.75" thickBot="1" x14ac:dyDescent="0.35">
      <c r="C5" s="3" t="s">
        <v>138</v>
      </c>
      <c r="D5" s="3" t="s">
        <v>0</v>
      </c>
      <c r="E5" s="3" t="s">
        <v>138</v>
      </c>
      <c r="F5" s="3" t="s">
        <v>0</v>
      </c>
      <c r="G5" s="3" t="s">
        <v>138</v>
      </c>
      <c r="H5" s="3" t="s">
        <v>0</v>
      </c>
      <c r="I5" s="3" t="s">
        <v>138</v>
      </c>
      <c r="J5" s="3" t="s">
        <v>0</v>
      </c>
      <c r="K5" s="3" t="s">
        <v>138</v>
      </c>
      <c r="L5" s="3" t="s">
        <v>0</v>
      </c>
      <c r="M5" s="3" t="s">
        <v>138</v>
      </c>
      <c r="N5" s="3" t="s">
        <v>0</v>
      </c>
      <c r="O5" s="3" t="s">
        <v>138</v>
      </c>
      <c r="P5" s="3" t="s">
        <v>0</v>
      </c>
      <c r="Q5" s="96"/>
      <c r="T5" s="103" t="s">
        <v>167</v>
      </c>
      <c r="U5" s="241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0"/>
      <c r="AH5" s="5" t="s">
        <v>63</v>
      </c>
      <c r="AI5" s="103" t="s">
        <v>2</v>
      </c>
      <c r="AJ5" s="116">
        <v>32.799999999999997</v>
      </c>
      <c r="AK5" s="116">
        <v>0.81</v>
      </c>
      <c r="AL5" s="116">
        <v>54.17</v>
      </c>
      <c r="AM5" s="116">
        <v>0.78</v>
      </c>
      <c r="AN5" s="116">
        <v>69.17</v>
      </c>
      <c r="AO5" s="116">
        <v>1.03</v>
      </c>
      <c r="AP5" s="116">
        <v>3.55</v>
      </c>
      <c r="AQ5" s="116">
        <v>0.79</v>
      </c>
      <c r="AR5" s="116">
        <v>3.54</v>
      </c>
      <c r="AS5" s="116">
        <v>0.71</v>
      </c>
      <c r="AT5" s="116">
        <v>40.57</v>
      </c>
      <c r="AU5" s="116">
        <v>0.88</v>
      </c>
      <c r="AV5" s="116">
        <v>203.8</v>
      </c>
      <c r="AW5" s="117">
        <v>0.88</v>
      </c>
    </row>
    <row r="6" spans="3:49" ht="40.5" x14ac:dyDescent="0.3">
      <c r="C6" s="99" t="s">
        <v>1</v>
      </c>
      <c r="D6" s="100">
        <v>3443.58</v>
      </c>
      <c r="E6" s="120">
        <v>92.57</v>
      </c>
      <c r="F6" s="100">
        <v>5506.25</v>
      </c>
      <c r="G6" s="120">
        <v>91.48</v>
      </c>
      <c r="H6" s="100">
        <v>5255.5</v>
      </c>
      <c r="I6" s="120">
        <v>94.49</v>
      </c>
      <c r="J6" s="120">
        <v>395.21</v>
      </c>
      <c r="K6" s="120">
        <v>96.27</v>
      </c>
      <c r="L6" s="120">
        <v>429.38</v>
      </c>
      <c r="M6" s="120">
        <v>92.67</v>
      </c>
      <c r="N6" s="100">
        <v>4005.27</v>
      </c>
      <c r="O6" s="120">
        <v>92.43</v>
      </c>
      <c r="P6" s="100">
        <v>19035.189999999999</v>
      </c>
      <c r="Q6" s="121">
        <v>92.82</v>
      </c>
      <c r="T6" s="103" t="s">
        <v>29</v>
      </c>
      <c r="U6" s="124" t="s">
        <v>56</v>
      </c>
      <c r="V6" s="123">
        <v>0.05</v>
      </c>
      <c r="W6" s="123">
        <v>4.51</v>
      </c>
      <c r="X6" s="123">
        <v>0.48</v>
      </c>
      <c r="Y6" s="123">
        <v>4.47</v>
      </c>
      <c r="Z6" s="123">
        <v>1.01</v>
      </c>
      <c r="AA6" s="123">
        <v>4.4800000000000004</v>
      </c>
      <c r="AB6" s="123">
        <v>1.57</v>
      </c>
      <c r="AC6" s="123">
        <v>4.47</v>
      </c>
      <c r="AD6" s="123">
        <v>2.2000000000000002</v>
      </c>
      <c r="AE6" s="123">
        <v>4.49</v>
      </c>
      <c r="AF6" s="123">
        <v>1.01</v>
      </c>
      <c r="AG6" s="122">
        <v>4.4800000000000004</v>
      </c>
      <c r="AH6" s="5" t="s">
        <v>65</v>
      </c>
      <c r="AI6" s="103" t="s">
        <v>3</v>
      </c>
      <c r="AJ6" s="116">
        <v>32.799999999999997</v>
      </c>
      <c r="AK6" s="116">
        <v>0.81</v>
      </c>
      <c r="AL6" s="116">
        <v>54.17</v>
      </c>
      <c r="AM6" s="116">
        <v>0.78</v>
      </c>
      <c r="AN6" s="116">
        <v>69.17</v>
      </c>
      <c r="AO6" s="116">
        <v>1.03</v>
      </c>
      <c r="AP6" s="116">
        <v>3.55</v>
      </c>
      <c r="AQ6" s="116">
        <v>0.79</v>
      </c>
      <c r="AR6" s="116">
        <v>3.54</v>
      </c>
      <c r="AS6" s="116">
        <v>0.71</v>
      </c>
      <c r="AT6" s="116">
        <v>40.57</v>
      </c>
      <c r="AU6" s="116">
        <v>0.88</v>
      </c>
      <c r="AV6" s="116">
        <v>203.8</v>
      </c>
      <c r="AW6" s="117">
        <v>0.88</v>
      </c>
    </row>
    <row r="7" spans="3:49" ht="40.5" x14ac:dyDescent="0.3">
      <c r="C7" s="103" t="s">
        <v>2</v>
      </c>
      <c r="D7" s="123">
        <v>32.619999999999997</v>
      </c>
      <c r="E7" s="123">
        <v>0.88</v>
      </c>
      <c r="F7" s="123">
        <v>60.71</v>
      </c>
      <c r="G7" s="123">
        <v>1.01</v>
      </c>
      <c r="H7" s="123">
        <v>69.459999999999994</v>
      </c>
      <c r="I7" s="123">
        <v>1.25</v>
      </c>
      <c r="J7" s="123">
        <v>3.87</v>
      </c>
      <c r="K7" s="123">
        <v>0.94</v>
      </c>
      <c r="L7" s="123">
        <v>3.83</v>
      </c>
      <c r="M7" s="123">
        <v>0.83</v>
      </c>
      <c r="N7" s="123">
        <v>41.08</v>
      </c>
      <c r="O7" s="123">
        <v>0.95</v>
      </c>
      <c r="P7" s="123">
        <v>211.57</v>
      </c>
      <c r="Q7" s="122">
        <v>1.03</v>
      </c>
      <c r="T7" s="103" t="s">
        <v>41</v>
      </c>
      <c r="U7" s="124" t="s">
        <v>56</v>
      </c>
      <c r="V7" s="123">
        <v>0</v>
      </c>
      <c r="W7" s="123">
        <v>6.15</v>
      </c>
      <c r="X7" s="123">
        <v>0</v>
      </c>
      <c r="Y7" s="123">
        <v>6.15</v>
      </c>
      <c r="Z7" s="123">
        <v>0</v>
      </c>
      <c r="AA7" s="123">
        <v>6.15</v>
      </c>
      <c r="AB7" s="123">
        <v>0</v>
      </c>
      <c r="AC7" s="123">
        <v>6.15</v>
      </c>
      <c r="AD7" s="123">
        <v>0.02</v>
      </c>
      <c r="AE7" s="123">
        <v>6.99</v>
      </c>
      <c r="AF7" s="123">
        <v>0</v>
      </c>
      <c r="AG7" s="122">
        <v>6.69</v>
      </c>
      <c r="AH7" s="5" t="s">
        <v>65</v>
      </c>
      <c r="AI7" s="103" t="s">
        <v>168</v>
      </c>
      <c r="AJ7" s="116" t="s">
        <v>139</v>
      </c>
      <c r="AK7" s="116" t="s">
        <v>139</v>
      </c>
      <c r="AL7" s="116" t="s">
        <v>139</v>
      </c>
      <c r="AM7" s="116" t="s">
        <v>139</v>
      </c>
      <c r="AN7" s="116" t="s">
        <v>139</v>
      </c>
      <c r="AO7" s="116" t="s">
        <v>139</v>
      </c>
      <c r="AP7" s="116" t="s">
        <v>139</v>
      </c>
      <c r="AQ7" s="116" t="s">
        <v>139</v>
      </c>
      <c r="AR7" s="116" t="s">
        <v>139</v>
      </c>
      <c r="AS7" s="116" t="s">
        <v>139</v>
      </c>
      <c r="AT7" s="116" t="s">
        <v>139</v>
      </c>
      <c r="AU7" s="116" t="s">
        <v>139</v>
      </c>
      <c r="AV7" s="116" t="s">
        <v>139</v>
      </c>
      <c r="AW7" s="117" t="s">
        <v>139</v>
      </c>
    </row>
    <row r="8" spans="3:49" ht="15.75" x14ac:dyDescent="0.3">
      <c r="C8" s="103" t="s">
        <v>3</v>
      </c>
      <c r="D8" s="123">
        <v>32.619999999999997</v>
      </c>
      <c r="E8" s="123">
        <v>0.88</v>
      </c>
      <c r="F8" s="123">
        <v>60.71</v>
      </c>
      <c r="G8" s="123">
        <v>1.01</v>
      </c>
      <c r="H8" s="123">
        <v>69.459999999999994</v>
      </c>
      <c r="I8" s="123">
        <v>1.25</v>
      </c>
      <c r="J8" s="123">
        <v>3.87</v>
      </c>
      <c r="K8" s="123">
        <v>0.94</v>
      </c>
      <c r="L8" s="123">
        <v>3.83</v>
      </c>
      <c r="M8" s="123">
        <v>0.83</v>
      </c>
      <c r="N8" s="123">
        <v>41.08</v>
      </c>
      <c r="O8" s="123">
        <v>0.95</v>
      </c>
      <c r="P8" s="123">
        <v>211.57</v>
      </c>
      <c r="Q8" s="122">
        <v>1.03</v>
      </c>
      <c r="T8" s="103" t="s">
        <v>41</v>
      </c>
      <c r="U8" s="124" t="s">
        <v>58</v>
      </c>
      <c r="V8" s="123">
        <v>0.02</v>
      </c>
      <c r="W8" s="123">
        <v>4.05</v>
      </c>
      <c r="X8" s="123">
        <v>0.02</v>
      </c>
      <c r="Y8" s="123">
        <v>4.13</v>
      </c>
      <c r="Z8" s="123">
        <v>0.04</v>
      </c>
      <c r="AA8" s="123">
        <v>4.5599999999999996</v>
      </c>
      <c r="AB8" s="123">
        <v>0.03</v>
      </c>
      <c r="AC8" s="123">
        <v>4.28</v>
      </c>
      <c r="AD8" s="123">
        <v>0.02</v>
      </c>
      <c r="AE8" s="123">
        <v>3.64</v>
      </c>
      <c r="AF8" s="123">
        <v>0.03</v>
      </c>
      <c r="AG8" s="122">
        <v>4.3</v>
      </c>
      <c r="AH8" s="5" t="s">
        <v>65</v>
      </c>
      <c r="AI8" s="103" t="s">
        <v>4</v>
      </c>
      <c r="AJ8" s="97">
        <v>3690.33</v>
      </c>
      <c r="AK8" s="116">
        <v>91.4</v>
      </c>
      <c r="AL8" s="97">
        <v>6237.33</v>
      </c>
      <c r="AM8" s="116">
        <v>89.66</v>
      </c>
      <c r="AN8" s="97">
        <v>6272.55</v>
      </c>
      <c r="AO8" s="116">
        <v>93.7</v>
      </c>
      <c r="AP8" s="116">
        <v>429.73</v>
      </c>
      <c r="AQ8" s="116">
        <v>95.7</v>
      </c>
      <c r="AR8" s="116">
        <v>458.75</v>
      </c>
      <c r="AS8" s="116">
        <v>92.01</v>
      </c>
      <c r="AT8" s="97">
        <v>4267.59</v>
      </c>
      <c r="AU8" s="116">
        <v>92.62</v>
      </c>
      <c r="AV8" s="97">
        <v>21356.28</v>
      </c>
      <c r="AW8" s="117">
        <v>91.88</v>
      </c>
    </row>
    <row r="9" spans="3:49" ht="40.5" x14ac:dyDescent="0.3">
      <c r="C9" s="103" t="s">
        <v>168</v>
      </c>
      <c r="D9" s="123" t="s">
        <v>139</v>
      </c>
      <c r="E9" s="123" t="s">
        <v>139</v>
      </c>
      <c r="F9" s="123" t="s">
        <v>139</v>
      </c>
      <c r="G9" s="123" t="s">
        <v>139</v>
      </c>
      <c r="H9" s="123" t="s">
        <v>139</v>
      </c>
      <c r="I9" s="123" t="s">
        <v>139</v>
      </c>
      <c r="J9" s="123" t="s">
        <v>139</v>
      </c>
      <c r="K9" s="123" t="s">
        <v>139</v>
      </c>
      <c r="L9" s="123" t="s">
        <v>139</v>
      </c>
      <c r="M9" s="123" t="s">
        <v>139</v>
      </c>
      <c r="N9" s="123" t="s">
        <v>139</v>
      </c>
      <c r="O9" s="123" t="s">
        <v>139</v>
      </c>
      <c r="P9" s="123" t="s">
        <v>139</v>
      </c>
      <c r="Q9" s="122" t="s">
        <v>139</v>
      </c>
      <c r="T9" s="103" t="s">
        <v>30</v>
      </c>
      <c r="U9" s="124" t="s">
        <v>58</v>
      </c>
      <c r="V9" s="123">
        <v>0.22</v>
      </c>
      <c r="W9" s="123">
        <v>1.82</v>
      </c>
      <c r="X9" s="123">
        <v>2.67</v>
      </c>
      <c r="Y9" s="123">
        <v>1.5</v>
      </c>
      <c r="Z9" s="123">
        <v>4.3899999999999997</v>
      </c>
      <c r="AA9" s="123">
        <v>1.63</v>
      </c>
      <c r="AB9" s="123">
        <v>6.53</v>
      </c>
      <c r="AC9" s="123">
        <v>1.54</v>
      </c>
      <c r="AD9" s="123">
        <v>9.89</v>
      </c>
      <c r="AE9" s="123">
        <v>1.52</v>
      </c>
      <c r="AF9" s="123">
        <v>4.5</v>
      </c>
      <c r="AG9" s="122">
        <v>1.56</v>
      </c>
      <c r="AH9" s="5" t="s">
        <v>67</v>
      </c>
      <c r="AI9" s="103" t="s">
        <v>5</v>
      </c>
      <c r="AJ9" s="116">
        <v>539.52</v>
      </c>
      <c r="AK9" s="116">
        <v>13.36</v>
      </c>
      <c r="AL9" s="97">
        <v>1013.24</v>
      </c>
      <c r="AM9" s="116">
        <v>14.56</v>
      </c>
      <c r="AN9" s="116">
        <v>829.58</v>
      </c>
      <c r="AO9" s="116">
        <v>12.39</v>
      </c>
      <c r="AP9" s="116">
        <v>126.38</v>
      </c>
      <c r="AQ9" s="116">
        <v>28.15</v>
      </c>
      <c r="AR9" s="116">
        <v>67.290000000000006</v>
      </c>
      <c r="AS9" s="116">
        <v>13.5</v>
      </c>
      <c r="AT9" s="116">
        <v>464.24</v>
      </c>
      <c r="AU9" s="116">
        <v>10.08</v>
      </c>
      <c r="AV9" s="97">
        <v>3040.25</v>
      </c>
      <c r="AW9" s="117">
        <v>13.08</v>
      </c>
    </row>
    <row r="10" spans="3:49" ht="27" x14ac:dyDescent="0.3">
      <c r="C10" s="103" t="s">
        <v>4</v>
      </c>
      <c r="D10" s="97">
        <v>3395.65</v>
      </c>
      <c r="E10" s="123">
        <v>91.28</v>
      </c>
      <c r="F10" s="97">
        <v>5452.8</v>
      </c>
      <c r="G10" s="123">
        <v>90.6</v>
      </c>
      <c r="H10" s="97">
        <v>5180.58</v>
      </c>
      <c r="I10" s="123">
        <v>93.15</v>
      </c>
      <c r="J10" s="123">
        <v>390.97</v>
      </c>
      <c r="K10" s="123">
        <v>95.24</v>
      </c>
      <c r="L10" s="123">
        <v>425.34</v>
      </c>
      <c r="M10" s="123">
        <v>91.8</v>
      </c>
      <c r="N10" s="97">
        <v>3969.46</v>
      </c>
      <c r="O10" s="123">
        <v>91.6</v>
      </c>
      <c r="P10" s="97">
        <v>18814.8</v>
      </c>
      <c r="Q10" s="122">
        <v>91.75</v>
      </c>
      <c r="T10" s="103" t="s">
        <v>126</v>
      </c>
      <c r="U10" s="124" t="s">
        <v>166</v>
      </c>
      <c r="V10" s="123" t="s">
        <v>139</v>
      </c>
      <c r="W10" s="123" t="s">
        <v>139</v>
      </c>
      <c r="X10" s="123" t="s">
        <v>139</v>
      </c>
      <c r="Y10" s="123" t="s">
        <v>139</v>
      </c>
      <c r="Z10" s="123">
        <v>0</v>
      </c>
      <c r="AA10" s="123">
        <v>1.71</v>
      </c>
      <c r="AB10" s="123">
        <v>0.01</v>
      </c>
      <c r="AC10" s="123">
        <v>1.71</v>
      </c>
      <c r="AD10" s="123">
        <v>0.01</v>
      </c>
      <c r="AE10" s="123">
        <v>1.71</v>
      </c>
      <c r="AF10" s="123">
        <v>0</v>
      </c>
      <c r="AG10" s="122">
        <v>1.71</v>
      </c>
      <c r="AH10" s="5" t="s">
        <v>127</v>
      </c>
      <c r="AI10" s="103" t="s">
        <v>6</v>
      </c>
      <c r="AJ10" s="97">
        <v>1400.24</v>
      </c>
      <c r="AK10" s="116">
        <v>34.68</v>
      </c>
      <c r="AL10" s="97">
        <v>1994.85</v>
      </c>
      <c r="AM10" s="116">
        <v>28.67</v>
      </c>
      <c r="AN10" s="97">
        <v>1925.89</v>
      </c>
      <c r="AO10" s="116">
        <v>28.77</v>
      </c>
      <c r="AP10" s="116">
        <v>119.16</v>
      </c>
      <c r="AQ10" s="116">
        <v>26.54</v>
      </c>
      <c r="AR10" s="116">
        <v>161.52000000000001</v>
      </c>
      <c r="AS10" s="116">
        <v>32.4</v>
      </c>
      <c r="AT10" s="97">
        <v>2032.56</v>
      </c>
      <c r="AU10" s="116">
        <v>44.11</v>
      </c>
      <c r="AV10" s="97">
        <v>7634.21</v>
      </c>
      <c r="AW10" s="117">
        <v>32.840000000000003</v>
      </c>
    </row>
    <row r="11" spans="3:49" ht="40.5" x14ac:dyDescent="0.25">
      <c r="C11" s="103" t="s">
        <v>5</v>
      </c>
      <c r="D11" s="123">
        <v>475.25</v>
      </c>
      <c r="E11" s="123">
        <v>12.78</v>
      </c>
      <c r="F11" s="123">
        <v>824.82</v>
      </c>
      <c r="G11" s="123">
        <v>13.7</v>
      </c>
      <c r="H11" s="123">
        <v>583.6</v>
      </c>
      <c r="I11" s="123">
        <v>10.49</v>
      </c>
      <c r="J11" s="123">
        <v>100.85</v>
      </c>
      <c r="K11" s="123">
        <v>24.57</v>
      </c>
      <c r="L11" s="123">
        <v>68.069999999999993</v>
      </c>
      <c r="M11" s="123">
        <v>14.69</v>
      </c>
      <c r="N11" s="123">
        <v>434.73</v>
      </c>
      <c r="O11" s="123">
        <v>10.029999999999999</v>
      </c>
      <c r="P11" s="97">
        <v>2487.3200000000002</v>
      </c>
      <c r="Q11" s="122">
        <v>12.13</v>
      </c>
      <c r="T11" s="103" t="s">
        <v>126</v>
      </c>
      <c r="U11" s="124" t="s">
        <v>56</v>
      </c>
      <c r="V11" s="123" t="s">
        <v>139</v>
      </c>
      <c r="W11" s="123" t="s">
        <v>139</v>
      </c>
      <c r="X11" s="123" t="s">
        <v>139</v>
      </c>
      <c r="Y11" s="123" t="s">
        <v>139</v>
      </c>
      <c r="Z11" s="123">
        <v>0.01</v>
      </c>
      <c r="AA11" s="123">
        <v>4.71</v>
      </c>
      <c r="AB11" s="123" t="s">
        <v>139</v>
      </c>
      <c r="AC11" s="123" t="s">
        <v>139</v>
      </c>
      <c r="AD11" s="123">
        <v>0</v>
      </c>
      <c r="AE11" s="123">
        <v>4.71</v>
      </c>
      <c r="AF11" s="123">
        <v>0</v>
      </c>
      <c r="AG11" s="122">
        <v>4.71</v>
      </c>
      <c r="AI11" s="103" t="s">
        <v>7</v>
      </c>
      <c r="AJ11" s="116">
        <v>2.63</v>
      </c>
      <c r="AK11" s="116">
        <v>7.0000000000000007E-2</v>
      </c>
      <c r="AL11" s="116">
        <v>31.34</v>
      </c>
      <c r="AM11" s="116">
        <v>0.45</v>
      </c>
      <c r="AN11" s="116" t="s">
        <v>139</v>
      </c>
      <c r="AO11" s="116" t="s">
        <v>139</v>
      </c>
      <c r="AP11" s="116">
        <v>21.59</v>
      </c>
      <c r="AQ11" s="116">
        <v>4.8099999999999996</v>
      </c>
      <c r="AR11" s="116">
        <v>1.42</v>
      </c>
      <c r="AS11" s="116">
        <v>0.28000000000000003</v>
      </c>
      <c r="AT11" s="116">
        <v>2.13</v>
      </c>
      <c r="AU11" s="116">
        <v>0.05</v>
      </c>
      <c r="AV11" s="116">
        <v>59.11</v>
      </c>
      <c r="AW11" s="117">
        <v>0.25</v>
      </c>
    </row>
    <row r="12" spans="3:49" ht="54" x14ac:dyDescent="0.25">
      <c r="C12" s="103" t="s">
        <v>6</v>
      </c>
      <c r="D12" s="97">
        <v>1349.93</v>
      </c>
      <c r="E12" s="123">
        <v>36.29</v>
      </c>
      <c r="F12" s="97">
        <v>1804.38</v>
      </c>
      <c r="G12" s="123">
        <v>29.98</v>
      </c>
      <c r="H12" s="97">
        <v>1622.22</v>
      </c>
      <c r="I12" s="123">
        <v>29.17</v>
      </c>
      <c r="J12" s="123">
        <v>120.79</v>
      </c>
      <c r="K12" s="123">
        <v>29.42</v>
      </c>
      <c r="L12" s="123">
        <v>163.62</v>
      </c>
      <c r="M12" s="123">
        <v>35.31</v>
      </c>
      <c r="N12" s="97">
        <v>1988</v>
      </c>
      <c r="O12" s="123">
        <v>45.88</v>
      </c>
      <c r="P12" s="97">
        <v>7048.93</v>
      </c>
      <c r="Q12" s="122">
        <v>34.369999999999997</v>
      </c>
      <c r="T12" s="103" t="s">
        <v>126</v>
      </c>
      <c r="U12" s="124" t="s">
        <v>57</v>
      </c>
      <c r="V12" s="123" t="s">
        <v>139</v>
      </c>
      <c r="W12" s="123" t="s">
        <v>139</v>
      </c>
      <c r="X12" s="123" t="s">
        <v>139</v>
      </c>
      <c r="Y12" s="123" t="s">
        <v>139</v>
      </c>
      <c r="Z12" s="123">
        <v>0.05</v>
      </c>
      <c r="AA12" s="123">
        <v>3.1</v>
      </c>
      <c r="AB12" s="123">
        <v>0.06</v>
      </c>
      <c r="AC12" s="123">
        <v>3.02</v>
      </c>
      <c r="AD12" s="123">
        <v>7.0000000000000007E-2</v>
      </c>
      <c r="AE12" s="123">
        <v>3.03</v>
      </c>
      <c r="AF12" s="123">
        <v>0.04</v>
      </c>
      <c r="AG12" s="122">
        <v>3.06</v>
      </c>
      <c r="AI12" s="103" t="s">
        <v>106</v>
      </c>
      <c r="AJ12" s="116">
        <v>378.74</v>
      </c>
      <c r="AK12" s="116">
        <v>9.3800000000000008</v>
      </c>
      <c r="AL12" s="116">
        <v>631.42999999999995</v>
      </c>
      <c r="AM12" s="116">
        <v>9.08</v>
      </c>
      <c r="AN12" s="116">
        <v>711.61</v>
      </c>
      <c r="AO12" s="116">
        <v>10.63</v>
      </c>
      <c r="AP12" s="116">
        <v>68.56</v>
      </c>
      <c r="AQ12" s="116">
        <v>15.27</v>
      </c>
      <c r="AR12" s="116">
        <v>36.25</v>
      </c>
      <c r="AS12" s="116">
        <v>7.27</v>
      </c>
      <c r="AT12" s="116">
        <v>404.55</v>
      </c>
      <c r="AU12" s="116">
        <v>8.7799999999999994</v>
      </c>
      <c r="AV12" s="97">
        <v>2231.14</v>
      </c>
      <c r="AW12" s="117">
        <v>9.6</v>
      </c>
    </row>
    <row r="13" spans="3:49" ht="40.5" x14ac:dyDescent="0.25">
      <c r="C13" s="103" t="s">
        <v>7</v>
      </c>
      <c r="D13" s="123">
        <v>2.34</v>
      </c>
      <c r="E13" s="123">
        <v>0.06</v>
      </c>
      <c r="F13" s="123">
        <v>31.7</v>
      </c>
      <c r="G13" s="123">
        <v>0.53</v>
      </c>
      <c r="H13" s="123" t="s">
        <v>139</v>
      </c>
      <c r="I13" s="123" t="s">
        <v>139</v>
      </c>
      <c r="J13" s="123">
        <v>24.74</v>
      </c>
      <c r="K13" s="123">
        <v>6.03</v>
      </c>
      <c r="L13" s="123">
        <v>1.39</v>
      </c>
      <c r="M13" s="123">
        <v>0.3</v>
      </c>
      <c r="N13" s="123">
        <v>2.04</v>
      </c>
      <c r="O13" s="123">
        <v>0.05</v>
      </c>
      <c r="P13" s="123">
        <v>62.21</v>
      </c>
      <c r="Q13" s="122">
        <v>0.3</v>
      </c>
      <c r="T13" s="103" t="s">
        <v>44</v>
      </c>
      <c r="U13" s="124" t="s">
        <v>56</v>
      </c>
      <c r="V13" s="123">
        <v>0</v>
      </c>
      <c r="W13" s="123">
        <v>5.69</v>
      </c>
      <c r="X13" s="123">
        <v>0.06</v>
      </c>
      <c r="Y13" s="123">
        <v>5.7</v>
      </c>
      <c r="Z13" s="123">
        <v>0.08</v>
      </c>
      <c r="AA13" s="123">
        <v>5.81</v>
      </c>
      <c r="AB13" s="123">
        <v>0.08</v>
      </c>
      <c r="AC13" s="123">
        <v>5.77</v>
      </c>
      <c r="AD13" s="123">
        <v>0.13</v>
      </c>
      <c r="AE13" s="123">
        <v>5.83</v>
      </c>
      <c r="AF13" s="123">
        <v>7.0000000000000007E-2</v>
      </c>
      <c r="AG13" s="122">
        <v>5.79</v>
      </c>
      <c r="AI13" s="103" t="s">
        <v>8</v>
      </c>
      <c r="AJ13" s="116">
        <v>572.79999999999995</v>
      </c>
      <c r="AK13" s="116">
        <v>14.19</v>
      </c>
      <c r="AL13" s="97">
        <v>1004.99</v>
      </c>
      <c r="AM13" s="116">
        <v>14.45</v>
      </c>
      <c r="AN13" s="97">
        <v>1057.33</v>
      </c>
      <c r="AO13" s="116">
        <v>15.79</v>
      </c>
      <c r="AP13" s="116">
        <v>44.94</v>
      </c>
      <c r="AQ13" s="116">
        <v>10.01</v>
      </c>
      <c r="AR13" s="116">
        <v>70.62</v>
      </c>
      <c r="AS13" s="116">
        <v>14.17</v>
      </c>
      <c r="AT13" s="116">
        <v>756.34</v>
      </c>
      <c r="AU13" s="116">
        <v>16.41</v>
      </c>
      <c r="AV13" s="97">
        <v>3507.02</v>
      </c>
      <c r="AW13" s="117">
        <v>15.09</v>
      </c>
    </row>
    <row r="14" spans="3:49" ht="54" x14ac:dyDescent="0.25">
      <c r="C14" s="103" t="s">
        <v>106</v>
      </c>
      <c r="D14" s="123">
        <v>359.97</v>
      </c>
      <c r="E14" s="123">
        <v>9.68</v>
      </c>
      <c r="F14" s="123">
        <v>616.24</v>
      </c>
      <c r="G14" s="123">
        <v>10.24</v>
      </c>
      <c r="H14" s="123">
        <v>702.96</v>
      </c>
      <c r="I14" s="123">
        <v>12.64</v>
      </c>
      <c r="J14" s="123">
        <v>69.97</v>
      </c>
      <c r="K14" s="123">
        <v>17.04</v>
      </c>
      <c r="L14" s="123">
        <v>35.619999999999997</v>
      </c>
      <c r="M14" s="123">
        <v>7.69</v>
      </c>
      <c r="N14" s="123">
        <v>403.03</v>
      </c>
      <c r="O14" s="123">
        <v>9.3000000000000007</v>
      </c>
      <c r="P14" s="97">
        <v>2187.8000000000002</v>
      </c>
      <c r="Q14" s="122">
        <v>10.67</v>
      </c>
      <c r="T14" s="103" t="s">
        <v>44</v>
      </c>
      <c r="U14" s="124" t="s">
        <v>58</v>
      </c>
      <c r="V14" s="123">
        <v>1.29</v>
      </c>
      <c r="W14" s="123">
        <v>2.95</v>
      </c>
      <c r="X14" s="123">
        <v>4.47</v>
      </c>
      <c r="Y14" s="123">
        <v>2.89</v>
      </c>
      <c r="Z14" s="123">
        <v>8.39</v>
      </c>
      <c r="AA14" s="123">
        <v>2.88</v>
      </c>
      <c r="AB14" s="123">
        <v>10.52</v>
      </c>
      <c r="AC14" s="123">
        <v>2.87</v>
      </c>
      <c r="AD14" s="123">
        <v>13.61</v>
      </c>
      <c r="AE14" s="123">
        <v>2.9</v>
      </c>
      <c r="AF14" s="123">
        <v>7.61</v>
      </c>
      <c r="AG14" s="122">
        <v>2.88</v>
      </c>
      <c r="AI14" s="103" t="s">
        <v>9</v>
      </c>
      <c r="AJ14" s="116">
        <v>16.32</v>
      </c>
      <c r="AK14" s="116">
        <v>0.4</v>
      </c>
      <c r="AL14" s="116">
        <v>35.729999999999997</v>
      </c>
      <c r="AM14" s="116">
        <v>0.51</v>
      </c>
      <c r="AN14" s="116">
        <v>10.38</v>
      </c>
      <c r="AO14" s="116">
        <v>0.16</v>
      </c>
      <c r="AP14" s="116">
        <v>16.84</v>
      </c>
      <c r="AQ14" s="116">
        <v>3.75</v>
      </c>
      <c r="AR14" s="116">
        <v>1.23</v>
      </c>
      <c r="AS14" s="116">
        <v>0.25</v>
      </c>
      <c r="AT14" s="116">
        <v>34.35</v>
      </c>
      <c r="AU14" s="116">
        <v>0.75</v>
      </c>
      <c r="AV14" s="116">
        <v>114.85</v>
      </c>
      <c r="AW14" s="117">
        <v>0.49</v>
      </c>
    </row>
    <row r="15" spans="3:49" ht="27" x14ac:dyDescent="0.25">
      <c r="C15" s="103" t="s">
        <v>8</v>
      </c>
      <c r="D15" s="123">
        <v>559.54</v>
      </c>
      <c r="E15" s="123">
        <v>15.04</v>
      </c>
      <c r="F15" s="97">
        <v>1004.37</v>
      </c>
      <c r="G15" s="123">
        <v>16.690000000000001</v>
      </c>
      <c r="H15" s="97">
        <v>1050.1600000000001</v>
      </c>
      <c r="I15" s="123">
        <v>18.88</v>
      </c>
      <c r="J15" s="123">
        <v>51.42</v>
      </c>
      <c r="K15" s="123">
        <v>12.53</v>
      </c>
      <c r="L15" s="123">
        <v>72.75</v>
      </c>
      <c r="M15" s="123">
        <v>15.7</v>
      </c>
      <c r="N15" s="123">
        <v>774.52</v>
      </c>
      <c r="O15" s="123">
        <v>17.87</v>
      </c>
      <c r="P15" s="97">
        <v>3512.76</v>
      </c>
      <c r="Q15" s="122">
        <v>17.13</v>
      </c>
      <c r="T15" s="103" t="s">
        <v>44</v>
      </c>
      <c r="U15" s="124" t="s">
        <v>57</v>
      </c>
      <c r="V15" s="123" t="s">
        <v>139</v>
      </c>
      <c r="W15" s="123" t="s">
        <v>139</v>
      </c>
      <c r="X15" s="123">
        <v>0.02</v>
      </c>
      <c r="Y15" s="123">
        <v>2.58</v>
      </c>
      <c r="Z15" s="123">
        <v>0.23</v>
      </c>
      <c r="AA15" s="123">
        <v>3.21</v>
      </c>
      <c r="AB15" s="123">
        <v>0.33</v>
      </c>
      <c r="AC15" s="123">
        <v>2.96</v>
      </c>
      <c r="AD15" s="123">
        <v>0.56999999999999995</v>
      </c>
      <c r="AE15" s="123">
        <v>2.99</v>
      </c>
      <c r="AF15" s="123">
        <v>0.22</v>
      </c>
      <c r="AG15" s="122">
        <v>3.06</v>
      </c>
      <c r="AI15" s="103" t="s">
        <v>10</v>
      </c>
      <c r="AJ15" s="116">
        <v>777.2</v>
      </c>
      <c r="AK15" s="116">
        <v>19.25</v>
      </c>
      <c r="AL15" s="97">
        <v>1513.85</v>
      </c>
      <c r="AM15" s="116">
        <v>21.76</v>
      </c>
      <c r="AN15" s="97">
        <v>1734.69</v>
      </c>
      <c r="AO15" s="116">
        <v>25.91</v>
      </c>
      <c r="AP15" s="116">
        <v>32.119999999999997</v>
      </c>
      <c r="AQ15" s="116">
        <v>7.15</v>
      </c>
      <c r="AR15" s="116">
        <v>120.09</v>
      </c>
      <c r="AS15" s="116">
        <v>24.09</v>
      </c>
      <c r="AT15" s="116">
        <v>570.41999999999996</v>
      </c>
      <c r="AU15" s="116">
        <v>12.38</v>
      </c>
      <c r="AV15" s="97">
        <v>4748.37</v>
      </c>
      <c r="AW15" s="117">
        <v>20.43</v>
      </c>
    </row>
    <row r="16" spans="3:49" ht="40.5" x14ac:dyDescent="0.25">
      <c r="C16" s="103" t="s">
        <v>9</v>
      </c>
      <c r="D16" s="123">
        <v>16.260000000000002</v>
      </c>
      <c r="E16" s="123">
        <v>0.44</v>
      </c>
      <c r="F16" s="123">
        <v>35.83</v>
      </c>
      <c r="G16" s="123">
        <v>0.6</v>
      </c>
      <c r="H16" s="123">
        <v>10.34</v>
      </c>
      <c r="I16" s="123">
        <v>0.19</v>
      </c>
      <c r="J16" s="123">
        <v>17.04</v>
      </c>
      <c r="K16" s="123">
        <v>4.1500000000000004</v>
      </c>
      <c r="L16" s="123">
        <v>1.24</v>
      </c>
      <c r="M16" s="123">
        <v>0.27</v>
      </c>
      <c r="N16" s="123">
        <v>34.39</v>
      </c>
      <c r="O16" s="123">
        <v>0.79</v>
      </c>
      <c r="P16" s="123">
        <v>115.11</v>
      </c>
      <c r="Q16" s="122">
        <v>0.56000000000000005</v>
      </c>
      <c r="T16" s="103" t="s">
        <v>152</v>
      </c>
      <c r="U16" s="124" t="s">
        <v>58</v>
      </c>
      <c r="V16" s="123">
        <v>0.03</v>
      </c>
      <c r="W16" s="123">
        <v>2.59</v>
      </c>
      <c r="X16" s="123">
        <v>0.03</v>
      </c>
      <c r="Y16" s="123">
        <v>2.59</v>
      </c>
      <c r="Z16" s="123">
        <v>0.14000000000000001</v>
      </c>
      <c r="AA16" s="123">
        <v>2.59</v>
      </c>
      <c r="AB16" s="123">
        <v>0.08</v>
      </c>
      <c r="AC16" s="123">
        <v>2.59</v>
      </c>
      <c r="AD16" s="123">
        <v>7.0000000000000007E-2</v>
      </c>
      <c r="AE16" s="123">
        <v>2.59</v>
      </c>
      <c r="AF16" s="123">
        <v>0.08</v>
      </c>
      <c r="AG16" s="122">
        <v>2.59</v>
      </c>
      <c r="AI16" s="103" t="s">
        <v>11</v>
      </c>
      <c r="AJ16" s="116" t="s">
        <v>139</v>
      </c>
      <c r="AK16" s="116" t="s">
        <v>139</v>
      </c>
      <c r="AL16" s="116">
        <v>3.09</v>
      </c>
      <c r="AM16" s="116">
        <v>0.04</v>
      </c>
      <c r="AN16" s="116">
        <v>0.95</v>
      </c>
      <c r="AO16" s="116">
        <v>0.01</v>
      </c>
      <c r="AP16" s="116" t="s">
        <v>139</v>
      </c>
      <c r="AQ16" s="116" t="s">
        <v>139</v>
      </c>
      <c r="AR16" s="116">
        <v>0.16</v>
      </c>
      <c r="AS16" s="116">
        <v>0.03</v>
      </c>
      <c r="AT16" s="116">
        <v>2.83</v>
      </c>
      <c r="AU16" s="116">
        <v>0.06</v>
      </c>
      <c r="AV16" s="116">
        <v>7.03</v>
      </c>
      <c r="AW16" s="117">
        <v>0.03</v>
      </c>
    </row>
    <row r="17" spans="3:49" ht="27" x14ac:dyDescent="0.25">
      <c r="C17" s="103" t="s">
        <v>10</v>
      </c>
      <c r="D17" s="123">
        <v>623.08000000000004</v>
      </c>
      <c r="E17" s="123">
        <v>16.75</v>
      </c>
      <c r="F17" s="97">
        <v>1121.29</v>
      </c>
      <c r="G17" s="123">
        <v>18.63</v>
      </c>
      <c r="H17" s="97">
        <v>1204.93</v>
      </c>
      <c r="I17" s="123">
        <v>21.66</v>
      </c>
      <c r="J17" s="123">
        <v>5.64</v>
      </c>
      <c r="K17" s="123">
        <v>1.37</v>
      </c>
      <c r="L17" s="123">
        <v>81.569999999999993</v>
      </c>
      <c r="M17" s="123">
        <v>17.600000000000001</v>
      </c>
      <c r="N17" s="123">
        <v>327.89</v>
      </c>
      <c r="O17" s="123">
        <v>7.57</v>
      </c>
      <c r="P17" s="97">
        <v>3364.4</v>
      </c>
      <c r="Q17" s="122">
        <v>16.41</v>
      </c>
      <c r="T17" s="103" t="s">
        <v>37</v>
      </c>
      <c r="U17" s="124" t="s">
        <v>145</v>
      </c>
      <c r="V17" s="123">
        <v>7.0000000000000007E-2</v>
      </c>
      <c r="W17" s="123">
        <v>2.67</v>
      </c>
      <c r="X17" s="123">
        <v>0.13</v>
      </c>
      <c r="Y17" s="123">
        <v>2.94</v>
      </c>
      <c r="Z17" s="123">
        <v>0.21</v>
      </c>
      <c r="AA17" s="123">
        <v>2.98</v>
      </c>
      <c r="AB17" s="123">
        <v>0.36</v>
      </c>
      <c r="AC17" s="123">
        <v>2.69</v>
      </c>
      <c r="AD17" s="123">
        <v>0.27</v>
      </c>
      <c r="AE17" s="123">
        <v>2.57</v>
      </c>
      <c r="AF17" s="123">
        <v>0.21</v>
      </c>
      <c r="AG17" s="122">
        <v>2.8</v>
      </c>
      <c r="AI17" s="103" t="s">
        <v>169</v>
      </c>
      <c r="AJ17" s="116">
        <v>2.88</v>
      </c>
      <c r="AK17" s="116">
        <v>7.0000000000000007E-2</v>
      </c>
      <c r="AL17" s="116">
        <v>8.82</v>
      </c>
      <c r="AM17" s="116">
        <v>0.13</v>
      </c>
      <c r="AN17" s="116">
        <v>2.12</v>
      </c>
      <c r="AO17" s="116">
        <v>0.03</v>
      </c>
      <c r="AP17" s="116">
        <v>0.15</v>
      </c>
      <c r="AQ17" s="116">
        <v>0.03</v>
      </c>
      <c r="AR17" s="116">
        <v>0.16</v>
      </c>
      <c r="AS17" s="116">
        <v>0.03</v>
      </c>
      <c r="AT17" s="116">
        <v>0.18</v>
      </c>
      <c r="AU17" s="116">
        <v>0</v>
      </c>
      <c r="AV17" s="116">
        <v>14.31</v>
      </c>
      <c r="AW17" s="117">
        <v>0.06</v>
      </c>
    </row>
    <row r="18" spans="3:49" ht="40.5" x14ac:dyDescent="0.25">
      <c r="C18" s="103" t="s">
        <v>11</v>
      </c>
      <c r="D18" s="123" t="s">
        <v>139</v>
      </c>
      <c r="E18" s="123" t="s">
        <v>139</v>
      </c>
      <c r="F18" s="123">
        <v>2.99</v>
      </c>
      <c r="G18" s="123">
        <v>0.05</v>
      </c>
      <c r="H18" s="123">
        <v>0.92</v>
      </c>
      <c r="I18" s="123">
        <v>0.02</v>
      </c>
      <c r="J18" s="123" t="s">
        <v>139</v>
      </c>
      <c r="K18" s="123" t="s">
        <v>139</v>
      </c>
      <c r="L18" s="123">
        <v>0.15</v>
      </c>
      <c r="M18" s="123">
        <v>0.03</v>
      </c>
      <c r="N18" s="123">
        <v>2.74</v>
      </c>
      <c r="O18" s="123">
        <v>0.06</v>
      </c>
      <c r="P18" s="123">
        <v>6.8</v>
      </c>
      <c r="Q18" s="122">
        <v>0.03</v>
      </c>
      <c r="T18" s="103" t="s">
        <v>45</v>
      </c>
      <c r="U18" s="124" t="s">
        <v>58</v>
      </c>
      <c r="V18" s="123">
        <v>0.56000000000000005</v>
      </c>
      <c r="W18" s="123">
        <v>3.55</v>
      </c>
      <c r="X18" s="123">
        <v>1.24</v>
      </c>
      <c r="Y18" s="123">
        <v>3.37</v>
      </c>
      <c r="Z18" s="123">
        <v>1.78</v>
      </c>
      <c r="AA18" s="123">
        <v>3.27</v>
      </c>
      <c r="AB18" s="123">
        <v>1.7</v>
      </c>
      <c r="AC18" s="123">
        <v>3.28</v>
      </c>
      <c r="AD18" s="123">
        <v>2.74</v>
      </c>
      <c r="AE18" s="123">
        <v>3.39</v>
      </c>
      <c r="AF18" s="123">
        <v>1.6</v>
      </c>
      <c r="AG18" s="122">
        <v>3.33</v>
      </c>
      <c r="AI18" s="103" t="s">
        <v>12</v>
      </c>
      <c r="AJ18" s="116">
        <v>11.74</v>
      </c>
      <c r="AK18" s="116">
        <v>0.28999999999999998</v>
      </c>
      <c r="AL18" s="116">
        <v>-15.54</v>
      </c>
      <c r="AM18" s="116">
        <v>-0.22</v>
      </c>
      <c r="AN18" s="116">
        <v>0.67</v>
      </c>
      <c r="AO18" s="116">
        <v>0.01</v>
      </c>
      <c r="AP18" s="116">
        <v>-0.03</v>
      </c>
      <c r="AQ18" s="116">
        <v>-0.01</v>
      </c>
      <c r="AR18" s="116">
        <v>-0.01</v>
      </c>
      <c r="AS18" s="116">
        <v>0</v>
      </c>
      <c r="AT18" s="116">
        <v>-8.75</v>
      </c>
      <c r="AU18" s="116">
        <v>-0.19</v>
      </c>
      <c r="AV18" s="116">
        <v>-11.92</v>
      </c>
      <c r="AW18" s="117">
        <v>-0.05</v>
      </c>
    </row>
    <row r="19" spans="3:49" ht="40.5" x14ac:dyDescent="0.25">
      <c r="C19" s="103" t="s">
        <v>169</v>
      </c>
      <c r="D19" s="123">
        <v>9.27</v>
      </c>
      <c r="E19" s="123">
        <v>0.25</v>
      </c>
      <c r="F19" s="123">
        <v>11.17</v>
      </c>
      <c r="G19" s="123">
        <v>0.19</v>
      </c>
      <c r="H19" s="123">
        <v>5.45</v>
      </c>
      <c r="I19" s="123">
        <v>0.1</v>
      </c>
      <c r="J19" s="123">
        <v>0.53</v>
      </c>
      <c r="K19" s="123">
        <v>0.13</v>
      </c>
      <c r="L19" s="123">
        <v>0.92</v>
      </c>
      <c r="M19" s="123">
        <v>0.2</v>
      </c>
      <c r="N19" s="123">
        <v>2.12</v>
      </c>
      <c r="O19" s="123">
        <v>0.05</v>
      </c>
      <c r="P19" s="123">
        <v>29.46</v>
      </c>
      <c r="Q19" s="122">
        <v>0.14000000000000001</v>
      </c>
      <c r="T19" s="103" t="s">
        <v>34</v>
      </c>
      <c r="U19" s="124" t="s">
        <v>56</v>
      </c>
      <c r="V19" s="123">
        <v>0.19</v>
      </c>
      <c r="W19" s="123">
        <v>4.76</v>
      </c>
      <c r="X19" s="123">
        <v>2.63</v>
      </c>
      <c r="Y19" s="123">
        <v>4.74</v>
      </c>
      <c r="Z19" s="123">
        <v>4.2300000000000004</v>
      </c>
      <c r="AA19" s="123">
        <v>4.8099999999999996</v>
      </c>
      <c r="AB19" s="123">
        <v>7.15</v>
      </c>
      <c r="AC19" s="123">
        <v>4.76</v>
      </c>
      <c r="AD19" s="123">
        <v>9.6</v>
      </c>
      <c r="AE19" s="123">
        <v>4.75</v>
      </c>
      <c r="AF19" s="123">
        <v>4.5</v>
      </c>
      <c r="AG19" s="122">
        <v>4.78</v>
      </c>
      <c r="AI19" s="103" t="s">
        <v>170</v>
      </c>
      <c r="AJ19" s="116">
        <v>0.64</v>
      </c>
      <c r="AK19" s="116">
        <v>0.02</v>
      </c>
      <c r="AL19" s="116">
        <v>0.28000000000000003</v>
      </c>
      <c r="AM19" s="116">
        <v>0</v>
      </c>
      <c r="AN19" s="116">
        <v>1.76</v>
      </c>
      <c r="AO19" s="116">
        <v>0.03</v>
      </c>
      <c r="AP19" s="116">
        <v>0.34</v>
      </c>
      <c r="AQ19" s="116">
        <v>0.08</v>
      </c>
      <c r="AR19" s="116">
        <v>0.11</v>
      </c>
      <c r="AS19" s="116">
        <v>0.02</v>
      </c>
      <c r="AT19" s="116">
        <v>0.16</v>
      </c>
      <c r="AU19" s="116">
        <v>0</v>
      </c>
      <c r="AV19" s="116">
        <v>3.29</v>
      </c>
      <c r="AW19" s="117">
        <v>0.01</v>
      </c>
    </row>
    <row r="20" spans="3:49" ht="40.5" x14ac:dyDescent="0.25">
      <c r="C20" s="103" t="s">
        <v>12</v>
      </c>
      <c r="D20" s="123">
        <v>14.57</v>
      </c>
      <c r="E20" s="123">
        <v>0.39</v>
      </c>
      <c r="F20" s="123">
        <v>-9.74</v>
      </c>
      <c r="G20" s="123">
        <v>-0.16</v>
      </c>
      <c r="H20" s="123">
        <v>2.13</v>
      </c>
      <c r="I20" s="123">
        <v>0.04</v>
      </c>
      <c r="J20" s="123">
        <v>-0.02</v>
      </c>
      <c r="K20" s="123">
        <v>-0.01</v>
      </c>
      <c r="L20" s="123">
        <v>-0.08</v>
      </c>
      <c r="M20" s="123">
        <v>-0.02</v>
      </c>
      <c r="N20" s="123">
        <v>-6.61</v>
      </c>
      <c r="O20" s="123">
        <v>-0.15</v>
      </c>
      <c r="P20" s="123">
        <v>0.25</v>
      </c>
      <c r="Q20" s="122">
        <v>0</v>
      </c>
      <c r="T20" s="103" t="s">
        <v>35</v>
      </c>
      <c r="U20" s="124" t="s">
        <v>58</v>
      </c>
      <c r="V20" s="123">
        <v>0.64</v>
      </c>
      <c r="W20" s="123">
        <v>1.88</v>
      </c>
      <c r="X20" s="123">
        <v>7.24</v>
      </c>
      <c r="Y20" s="123">
        <v>1.71</v>
      </c>
      <c r="Z20" s="123">
        <v>12.75</v>
      </c>
      <c r="AA20" s="123">
        <v>1.77</v>
      </c>
      <c r="AB20" s="123">
        <v>19.91</v>
      </c>
      <c r="AC20" s="123">
        <v>1.72</v>
      </c>
      <c r="AD20" s="123">
        <v>24.69</v>
      </c>
      <c r="AE20" s="123">
        <v>1.68</v>
      </c>
      <c r="AF20" s="123">
        <v>12.61</v>
      </c>
      <c r="AG20" s="122">
        <v>1.73</v>
      </c>
      <c r="AI20" s="105" t="s">
        <v>13</v>
      </c>
      <c r="AJ20" s="116">
        <v>302.20999999999998</v>
      </c>
      <c r="AK20" s="116">
        <v>7.48</v>
      </c>
      <c r="AL20" s="116">
        <v>680.63</v>
      </c>
      <c r="AM20" s="116">
        <v>9.7799999999999994</v>
      </c>
      <c r="AN20" s="116">
        <v>350.09</v>
      </c>
      <c r="AO20" s="116">
        <v>5.23</v>
      </c>
      <c r="AP20" s="116">
        <v>15.42</v>
      </c>
      <c r="AQ20" s="116">
        <v>3.43</v>
      </c>
      <c r="AR20" s="116">
        <v>36.17</v>
      </c>
      <c r="AS20" s="116">
        <v>7.25</v>
      </c>
      <c r="AT20" s="116">
        <v>308.14</v>
      </c>
      <c r="AU20" s="116">
        <v>6.69</v>
      </c>
      <c r="AV20" s="97">
        <v>1692.66</v>
      </c>
      <c r="AW20" s="117">
        <v>7.28</v>
      </c>
    </row>
    <row r="21" spans="3:49" ht="40.5" x14ac:dyDescent="0.25">
      <c r="C21" s="103" t="s">
        <v>170</v>
      </c>
      <c r="D21" s="123">
        <v>0.74</v>
      </c>
      <c r="E21" s="123">
        <v>0.02</v>
      </c>
      <c r="F21" s="123">
        <v>2.48</v>
      </c>
      <c r="G21" s="123">
        <v>0.04</v>
      </c>
      <c r="H21" s="123">
        <v>3.33</v>
      </c>
      <c r="I21" s="123">
        <v>0.06</v>
      </c>
      <c r="J21" s="123">
        <v>0.4</v>
      </c>
      <c r="K21" s="123">
        <v>0.1</v>
      </c>
      <c r="L21" s="123">
        <v>0.28999999999999998</v>
      </c>
      <c r="M21" s="123">
        <v>0.06</v>
      </c>
      <c r="N21" s="123">
        <v>1.33</v>
      </c>
      <c r="O21" s="123">
        <v>0.03</v>
      </c>
      <c r="P21" s="123">
        <v>8.57</v>
      </c>
      <c r="Q21" s="122">
        <v>0.04</v>
      </c>
      <c r="T21" s="103" t="s">
        <v>38</v>
      </c>
      <c r="U21" s="124" t="s">
        <v>58</v>
      </c>
      <c r="V21" s="123">
        <v>0</v>
      </c>
      <c r="W21" s="123">
        <v>3.52</v>
      </c>
      <c r="X21" s="123">
        <v>0</v>
      </c>
      <c r="Y21" s="123">
        <v>3.53</v>
      </c>
      <c r="Z21" s="123">
        <v>0.01</v>
      </c>
      <c r="AA21" s="123">
        <v>3.58</v>
      </c>
      <c r="AB21" s="123">
        <v>0.05</v>
      </c>
      <c r="AC21" s="123">
        <v>3.56</v>
      </c>
      <c r="AD21" s="123">
        <v>0.03</v>
      </c>
      <c r="AE21" s="123">
        <v>3.58</v>
      </c>
      <c r="AF21" s="123">
        <v>0.02</v>
      </c>
      <c r="AG21" s="122">
        <v>3.57</v>
      </c>
      <c r="AI21" s="103" t="s">
        <v>2</v>
      </c>
      <c r="AJ21" s="116">
        <v>142.33000000000001</v>
      </c>
      <c r="AK21" s="116">
        <v>3.52</v>
      </c>
      <c r="AL21" s="116">
        <v>247.53</v>
      </c>
      <c r="AM21" s="116">
        <v>3.56</v>
      </c>
      <c r="AN21" s="116">
        <v>234.88</v>
      </c>
      <c r="AO21" s="116">
        <v>3.51</v>
      </c>
      <c r="AP21" s="116">
        <v>15.35</v>
      </c>
      <c r="AQ21" s="116">
        <v>3.42</v>
      </c>
      <c r="AR21" s="116">
        <v>17.41</v>
      </c>
      <c r="AS21" s="116">
        <v>3.49</v>
      </c>
      <c r="AT21" s="116">
        <v>183.62</v>
      </c>
      <c r="AU21" s="116">
        <v>3.99</v>
      </c>
      <c r="AV21" s="116">
        <v>841.13</v>
      </c>
      <c r="AW21" s="117">
        <v>3.62</v>
      </c>
    </row>
    <row r="22" spans="3:49" ht="40.5" x14ac:dyDescent="0.25">
      <c r="C22" s="105" t="s">
        <v>13</v>
      </c>
      <c r="D22" s="123">
        <v>276.36</v>
      </c>
      <c r="E22" s="123">
        <v>7.43</v>
      </c>
      <c r="F22" s="123">
        <v>512.53</v>
      </c>
      <c r="G22" s="123">
        <v>8.52</v>
      </c>
      <c r="H22" s="123">
        <v>306.19</v>
      </c>
      <c r="I22" s="123">
        <v>5.51</v>
      </c>
      <c r="J22" s="123">
        <v>15.3</v>
      </c>
      <c r="K22" s="123">
        <v>3.73</v>
      </c>
      <c r="L22" s="123">
        <v>33.97</v>
      </c>
      <c r="M22" s="123">
        <v>7.33</v>
      </c>
      <c r="N22" s="123">
        <v>328.03</v>
      </c>
      <c r="O22" s="123">
        <v>7.57</v>
      </c>
      <c r="P22" s="97">
        <v>1472.38</v>
      </c>
      <c r="Q22" s="122">
        <v>7.18</v>
      </c>
      <c r="T22" s="103" t="s">
        <v>31</v>
      </c>
      <c r="U22" s="124" t="s">
        <v>58</v>
      </c>
      <c r="V22" s="123">
        <v>0.04</v>
      </c>
      <c r="W22" s="123">
        <v>1.7</v>
      </c>
      <c r="X22" s="123">
        <v>0.01</v>
      </c>
      <c r="Y22" s="123">
        <v>1.49</v>
      </c>
      <c r="Z22" s="123">
        <v>0.05</v>
      </c>
      <c r="AA22" s="123">
        <v>1.67</v>
      </c>
      <c r="AB22" s="123">
        <v>0.04</v>
      </c>
      <c r="AC22" s="123">
        <v>1.91</v>
      </c>
      <c r="AD22" s="123">
        <v>0.03</v>
      </c>
      <c r="AE22" s="123">
        <v>1.53</v>
      </c>
      <c r="AF22" s="123">
        <v>0.04</v>
      </c>
      <c r="AG22" s="122">
        <v>1.69</v>
      </c>
      <c r="AI22" s="103" t="s">
        <v>14</v>
      </c>
      <c r="AJ22" s="116" t="s">
        <v>139</v>
      </c>
      <c r="AK22" s="116" t="s">
        <v>139</v>
      </c>
      <c r="AL22" s="116" t="s">
        <v>139</v>
      </c>
      <c r="AM22" s="116" t="s">
        <v>139</v>
      </c>
      <c r="AN22" s="116" t="s">
        <v>139</v>
      </c>
      <c r="AO22" s="116" t="s">
        <v>139</v>
      </c>
      <c r="AP22" s="116" t="s">
        <v>139</v>
      </c>
      <c r="AQ22" s="116" t="s">
        <v>139</v>
      </c>
      <c r="AR22" s="116" t="s">
        <v>139</v>
      </c>
      <c r="AS22" s="116" t="s">
        <v>139</v>
      </c>
      <c r="AT22" s="116" t="s">
        <v>139</v>
      </c>
      <c r="AU22" s="116" t="s">
        <v>139</v>
      </c>
      <c r="AV22" s="116" t="s">
        <v>139</v>
      </c>
      <c r="AW22" s="117" t="s">
        <v>139</v>
      </c>
    </row>
    <row r="23" spans="3:49" ht="27" x14ac:dyDescent="0.25">
      <c r="C23" s="103" t="s">
        <v>2</v>
      </c>
      <c r="D23" s="123">
        <v>142.47</v>
      </c>
      <c r="E23" s="123">
        <v>3.83</v>
      </c>
      <c r="F23" s="123">
        <v>221.84</v>
      </c>
      <c r="G23" s="123">
        <v>3.69</v>
      </c>
      <c r="H23" s="123">
        <v>204.75</v>
      </c>
      <c r="I23" s="123">
        <v>3.68</v>
      </c>
      <c r="J23" s="123">
        <v>15.19</v>
      </c>
      <c r="K23" s="123">
        <v>3.7</v>
      </c>
      <c r="L23" s="123">
        <v>18.690000000000001</v>
      </c>
      <c r="M23" s="123">
        <v>4.03</v>
      </c>
      <c r="N23" s="123">
        <v>194.65</v>
      </c>
      <c r="O23" s="123">
        <v>4.49</v>
      </c>
      <c r="P23" s="123">
        <v>797.59</v>
      </c>
      <c r="Q23" s="122">
        <v>3.89</v>
      </c>
      <c r="T23" s="103" t="s">
        <v>42</v>
      </c>
      <c r="U23" s="124" t="s">
        <v>56</v>
      </c>
      <c r="V23" s="123">
        <v>0</v>
      </c>
      <c r="W23" s="123">
        <v>17.93</v>
      </c>
      <c r="X23" s="123">
        <v>0.03</v>
      </c>
      <c r="Y23" s="123">
        <v>12.93</v>
      </c>
      <c r="Z23" s="123">
        <v>0.03</v>
      </c>
      <c r="AA23" s="123">
        <v>9.33</v>
      </c>
      <c r="AB23" s="123">
        <v>0.13</v>
      </c>
      <c r="AC23" s="123">
        <v>6.5</v>
      </c>
      <c r="AD23" s="123">
        <v>0.12</v>
      </c>
      <c r="AE23" s="123">
        <v>7.23</v>
      </c>
      <c r="AF23" s="123">
        <v>0.05</v>
      </c>
      <c r="AG23" s="122">
        <v>7.94</v>
      </c>
      <c r="AI23" s="103" t="s">
        <v>15</v>
      </c>
      <c r="AJ23" s="116">
        <v>142.33000000000001</v>
      </c>
      <c r="AK23" s="116">
        <v>3.52</v>
      </c>
      <c r="AL23" s="116">
        <v>247.53</v>
      </c>
      <c r="AM23" s="116">
        <v>3.56</v>
      </c>
      <c r="AN23" s="116">
        <v>234.88</v>
      </c>
      <c r="AO23" s="116">
        <v>3.51</v>
      </c>
      <c r="AP23" s="116">
        <v>15.35</v>
      </c>
      <c r="AQ23" s="116">
        <v>3.42</v>
      </c>
      <c r="AR23" s="116">
        <v>17.41</v>
      </c>
      <c r="AS23" s="116">
        <v>3.49</v>
      </c>
      <c r="AT23" s="116">
        <v>183.62</v>
      </c>
      <c r="AU23" s="116">
        <v>3.99</v>
      </c>
      <c r="AV23" s="116">
        <v>841.13</v>
      </c>
      <c r="AW23" s="117">
        <v>3.62</v>
      </c>
    </row>
    <row r="24" spans="3:49" ht="27" x14ac:dyDescent="0.25">
      <c r="C24" s="103" t="s">
        <v>14</v>
      </c>
      <c r="D24" s="123" t="s">
        <v>139</v>
      </c>
      <c r="E24" s="123" t="s">
        <v>139</v>
      </c>
      <c r="F24" s="123" t="s">
        <v>139</v>
      </c>
      <c r="G24" s="123" t="s">
        <v>139</v>
      </c>
      <c r="H24" s="123" t="s">
        <v>139</v>
      </c>
      <c r="I24" s="123" t="s">
        <v>139</v>
      </c>
      <c r="J24" s="123" t="s">
        <v>139</v>
      </c>
      <c r="K24" s="123" t="s">
        <v>139</v>
      </c>
      <c r="L24" s="123" t="s">
        <v>139</v>
      </c>
      <c r="M24" s="123" t="s">
        <v>139</v>
      </c>
      <c r="N24" s="123" t="s">
        <v>139</v>
      </c>
      <c r="O24" s="123" t="s">
        <v>139</v>
      </c>
      <c r="P24" s="123" t="s">
        <v>139</v>
      </c>
      <c r="Q24" s="122" t="s">
        <v>139</v>
      </c>
      <c r="T24" s="103" t="s">
        <v>42</v>
      </c>
      <c r="U24" s="124" t="s">
        <v>58</v>
      </c>
      <c r="V24" s="123">
        <v>0.95</v>
      </c>
      <c r="W24" s="123">
        <v>3.24</v>
      </c>
      <c r="X24" s="123">
        <v>3.18</v>
      </c>
      <c r="Y24" s="123">
        <v>3.14</v>
      </c>
      <c r="Z24" s="123">
        <v>6.24</v>
      </c>
      <c r="AA24" s="123">
        <v>3.15</v>
      </c>
      <c r="AB24" s="123">
        <v>6.72</v>
      </c>
      <c r="AC24" s="123">
        <v>3.13</v>
      </c>
      <c r="AD24" s="123">
        <v>8.25</v>
      </c>
      <c r="AE24" s="123">
        <v>3.14</v>
      </c>
      <c r="AF24" s="123">
        <v>5.2</v>
      </c>
      <c r="AG24" s="122">
        <v>3.15</v>
      </c>
      <c r="AI24" s="103" t="s">
        <v>4</v>
      </c>
      <c r="AJ24" s="116">
        <v>157.55000000000001</v>
      </c>
      <c r="AK24" s="116">
        <v>3.9</v>
      </c>
      <c r="AL24" s="116">
        <v>430.25</v>
      </c>
      <c r="AM24" s="116">
        <v>6.18</v>
      </c>
      <c r="AN24" s="116">
        <v>135.53</v>
      </c>
      <c r="AO24" s="116">
        <v>2.02</v>
      </c>
      <c r="AP24" s="116">
        <v>7.0000000000000007E-2</v>
      </c>
      <c r="AQ24" s="116">
        <v>0.02</v>
      </c>
      <c r="AR24" s="116">
        <v>18.75</v>
      </c>
      <c r="AS24" s="116">
        <v>3.76</v>
      </c>
      <c r="AT24" s="116">
        <v>127.42</v>
      </c>
      <c r="AU24" s="116">
        <v>2.77</v>
      </c>
      <c r="AV24" s="116">
        <v>869.57</v>
      </c>
      <c r="AW24" s="117">
        <v>3.74</v>
      </c>
    </row>
    <row r="25" spans="3:49" ht="27" x14ac:dyDescent="0.25">
      <c r="C25" s="103" t="s">
        <v>15</v>
      </c>
      <c r="D25" s="123">
        <v>142.47</v>
      </c>
      <c r="E25" s="123">
        <v>3.83</v>
      </c>
      <c r="F25" s="123">
        <v>221.84</v>
      </c>
      <c r="G25" s="123">
        <v>3.69</v>
      </c>
      <c r="H25" s="123">
        <v>204.75</v>
      </c>
      <c r="I25" s="123">
        <v>3.68</v>
      </c>
      <c r="J25" s="123">
        <v>15.19</v>
      </c>
      <c r="K25" s="123">
        <v>3.7</v>
      </c>
      <c r="L25" s="123">
        <v>18.690000000000001</v>
      </c>
      <c r="M25" s="123">
        <v>4.03</v>
      </c>
      <c r="N25" s="123">
        <v>194.65</v>
      </c>
      <c r="O25" s="123">
        <v>4.49</v>
      </c>
      <c r="P25" s="123">
        <v>797.59</v>
      </c>
      <c r="Q25" s="122">
        <v>3.89</v>
      </c>
      <c r="T25" s="103" t="s">
        <v>42</v>
      </c>
      <c r="U25" s="124" t="s">
        <v>57</v>
      </c>
      <c r="V25" s="123">
        <v>0.04</v>
      </c>
      <c r="W25" s="123">
        <v>3.4</v>
      </c>
      <c r="X25" s="123">
        <v>0.36</v>
      </c>
      <c r="Y25" s="123">
        <v>6.38</v>
      </c>
      <c r="Z25" s="123">
        <v>1.46</v>
      </c>
      <c r="AA25" s="123">
        <v>5.56</v>
      </c>
      <c r="AB25" s="123">
        <v>1.48</v>
      </c>
      <c r="AC25" s="123">
        <v>5.59</v>
      </c>
      <c r="AD25" s="123">
        <v>2.2599999999999998</v>
      </c>
      <c r="AE25" s="123">
        <v>5.04</v>
      </c>
      <c r="AF25" s="123">
        <v>1.1499999999999999</v>
      </c>
      <c r="AG25" s="122">
        <v>5.46</v>
      </c>
      <c r="AI25" s="103" t="s">
        <v>12</v>
      </c>
      <c r="AJ25" s="116">
        <v>2.34</v>
      </c>
      <c r="AK25" s="116">
        <v>0.06</v>
      </c>
      <c r="AL25" s="116">
        <v>2.85</v>
      </c>
      <c r="AM25" s="116">
        <v>0.04</v>
      </c>
      <c r="AN25" s="116">
        <v>-20.32</v>
      </c>
      <c r="AO25" s="116">
        <v>-0.3</v>
      </c>
      <c r="AP25" s="116" t="s">
        <v>139</v>
      </c>
      <c r="AQ25" s="116" t="s">
        <v>139</v>
      </c>
      <c r="AR25" s="116" t="s">
        <v>139</v>
      </c>
      <c r="AS25" s="116" t="s">
        <v>139</v>
      </c>
      <c r="AT25" s="116">
        <v>-2.9</v>
      </c>
      <c r="AU25" s="116">
        <v>-0.06</v>
      </c>
      <c r="AV25" s="116">
        <v>-18.04</v>
      </c>
      <c r="AW25" s="117">
        <v>-0.08</v>
      </c>
    </row>
    <row r="26" spans="3:49" ht="40.5" x14ac:dyDescent="0.25">
      <c r="C26" s="103" t="s">
        <v>4</v>
      </c>
      <c r="D26" s="123">
        <v>132.62</v>
      </c>
      <c r="E26" s="123">
        <v>3.57</v>
      </c>
      <c r="F26" s="123">
        <v>289.24</v>
      </c>
      <c r="G26" s="123">
        <v>4.8099999999999996</v>
      </c>
      <c r="H26" s="123">
        <v>108.6</v>
      </c>
      <c r="I26" s="123">
        <v>1.95</v>
      </c>
      <c r="J26" s="123">
        <v>0.11</v>
      </c>
      <c r="K26" s="123">
        <v>0.03</v>
      </c>
      <c r="L26" s="123">
        <v>15.26</v>
      </c>
      <c r="M26" s="123">
        <v>3.29</v>
      </c>
      <c r="N26" s="123">
        <v>133.91</v>
      </c>
      <c r="O26" s="123">
        <v>3.09</v>
      </c>
      <c r="P26" s="123">
        <v>679.75</v>
      </c>
      <c r="Q26" s="122">
        <v>3.31</v>
      </c>
      <c r="T26" s="103" t="s">
        <v>47</v>
      </c>
      <c r="U26" s="124" t="s">
        <v>59</v>
      </c>
      <c r="V26" s="123" t="s">
        <v>139</v>
      </c>
      <c r="W26" s="123" t="s">
        <v>139</v>
      </c>
      <c r="X26" s="123">
        <v>0</v>
      </c>
      <c r="Y26" s="123">
        <v>2.13</v>
      </c>
      <c r="Z26" s="123">
        <v>0</v>
      </c>
      <c r="AA26" s="123">
        <v>2.13</v>
      </c>
      <c r="AB26" s="123">
        <v>0</v>
      </c>
      <c r="AC26" s="123">
        <v>2.13</v>
      </c>
      <c r="AD26" s="123">
        <v>0</v>
      </c>
      <c r="AE26" s="123">
        <v>2.13</v>
      </c>
      <c r="AF26" s="123">
        <v>0</v>
      </c>
      <c r="AG26" s="122">
        <v>2.13</v>
      </c>
      <c r="AI26" s="103" t="s">
        <v>171</v>
      </c>
      <c r="AJ26" s="116">
        <v>0</v>
      </c>
      <c r="AK26" s="116">
        <v>0</v>
      </c>
      <c r="AL26" s="116">
        <v>0</v>
      </c>
      <c r="AM26" s="116">
        <v>0</v>
      </c>
      <c r="AN26" s="116">
        <v>0</v>
      </c>
      <c r="AO26" s="116">
        <v>0</v>
      </c>
      <c r="AP26" s="116">
        <v>0</v>
      </c>
      <c r="AQ26" s="116">
        <v>0</v>
      </c>
      <c r="AR26" s="116">
        <v>0</v>
      </c>
      <c r="AS26" s="116">
        <v>0</v>
      </c>
      <c r="AT26" s="116">
        <v>0</v>
      </c>
      <c r="AU26" s="116">
        <v>0</v>
      </c>
      <c r="AV26" s="116">
        <v>0.01</v>
      </c>
      <c r="AW26" s="117">
        <v>0</v>
      </c>
    </row>
    <row r="27" spans="3:49" ht="27" x14ac:dyDescent="0.25">
      <c r="C27" s="103" t="s">
        <v>12</v>
      </c>
      <c r="D27" s="123">
        <v>1.1599999999999999</v>
      </c>
      <c r="E27" s="123">
        <v>0.03</v>
      </c>
      <c r="F27" s="123">
        <v>1.24</v>
      </c>
      <c r="G27" s="123">
        <v>0.02</v>
      </c>
      <c r="H27" s="123">
        <v>-7.19</v>
      </c>
      <c r="I27" s="123">
        <v>-0.13</v>
      </c>
      <c r="J27" s="123" t="s">
        <v>139</v>
      </c>
      <c r="K27" s="123" t="s">
        <v>139</v>
      </c>
      <c r="L27" s="123" t="s">
        <v>139</v>
      </c>
      <c r="M27" s="123" t="s">
        <v>139</v>
      </c>
      <c r="N27" s="123">
        <v>-0.61</v>
      </c>
      <c r="O27" s="123">
        <v>-0.01</v>
      </c>
      <c r="P27" s="123">
        <v>-5.4</v>
      </c>
      <c r="Q27" s="122">
        <v>-0.03</v>
      </c>
      <c r="T27" s="103" t="s">
        <v>47</v>
      </c>
      <c r="U27" s="124" t="s">
        <v>58</v>
      </c>
      <c r="V27" s="123">
        <v>0.11</v>
      </c>
      <c r="W27" s="123">
        <v>3.51</v>
      </c>
      <c r="X27" s="123">
        <v>0.36</v>
      </c>
      <c r="Y27" s="123">
        <v>3.54</v>
      </c>
      <c r="Z27" s="123">
        <v>0.77</v>
      </c>
      <c r="AA27" s="123">
        <v>3.57</v>
      </c>
      <c r="AB27" s="123">
        <v>0.56000000000000005</v>
      </c>
      <c r="AC27" s="123">
        <v>3.58</v>
      </c>
      <c r="AD27" s="123">
        <v>0.56000000000000005</v>
      </c>
      <c r="AE27" s="123">
        <v>3.49</v>
      </c>
      <c r="AF27" s="123">
        <v>0.53</v>
      </c>
      <c r="AG27" s="122">
        <v>3.55</v>
      </c>
      <c r="AI27" s="105" t="s">
        <v>16</v>
      </c>
      <c r="AJ27" s="97">
        <v>4037.72</v>
      </c>
      <c r="AK27" s="116">
        <v>100</v>
      </c>
      <c r="AL27" s="97">
        <v>6956.87</v>
      </c>
      <c r="AM27" s="116">
        <v>100</v>
      </c>
      <c r="AN27" s="97">
        <v>6694.24</v>
      </c>
      <c r="AO27" s="116">
        <v>100</v>
      </c>
      <c r="AP27" s="116">
        <v>449.02</v>
      </c>
      <c r="AQ27" s="116">
        <v>100</v>
      </c>
      <c r="AR27" s="116">
        <v>498.56</v>
      </c>
      <c r="AS27" s="116">
        <v>100</v>
      </c>
      <c r="AT27" s="97">
        <v>4607.71</v>
      </c>
      <c r="AU27" s="116">
        <v>100</v>
      </c>
      <c r="AV27" s="97">
        <v>23244.12</v>
      </c>
      <c r="AW27" s="117">
        <v>100</v>
      </c>
    </row>
    <row r="28" spans="3:49" ht="40.5" x14ac:dyDescent="0.25">
      <c r="C28" s="103" t="s">
        <v>171</v>
      </c>
      <c r="D28" s="123">
        <v>0.11</v>
      </c>
      <c r="E28" s="123">
        <v>0</v>
      </c>
      <c r="F28" s="123">
        <v>0.21</v>
      </c>
      <c r="G28" s="123">
        <v>0</v>
      </c>
      <c r="H28" s="123">
        <v>0.03</v>
      </c>
      <c r="I28" s="123">
        <v>0</v>
      </c>
      <c r="J28" s="123">
        <v>0</v>
      </c>
      <c r="K28" s="123">
        <v>0</v>
      </c>
      <c r="L28" s="123">
        <v>0.01</v>
      </c>
      <c r="M28" s="123">
        <v>0</v>
      </c>
      <c r="N28" s="123">
        <v>7.0000000000000007E-2</v>
      </c>
      <c r="O28" s="123">
        <v>0</v>
      </c>
      <c r="P28" s="123">
        <v>0.44</v>
      </c>
      <c r="Q28" s="122">
        <v>0</v>
      </c>
      <c r="T28" s="103" t="s">
        <v>32</v>
      </c>
      <c r="U28" s="124" t="s">
        <v>58</v>
      </c>
      <c r="V28" s="123">
        <v>0</v>
      </c>
      <c r="W28" s="123">
        <v>1.49</v>
      </c>
      <c r="X28" s="123">
        <v>0.01</v>
      </c>
      <c r="Y28" s="123">
        <v>1.42</v>
      </c>
      <c r="Z28" s="123">
        <v>0.01</v>
      </c>
      <c r="AA28" s="123">
        <v>1.38</v>
      </c>
      <c r="AB28" s="123">
        <v>0.01</v>
      </c>
      <c r="AC28" s="123">
        <v>1.4</v>
      </c>
      <c r="AD28" s="123">
        <v>0.01</v>
      </c>
      <c r="AE28" s="123">
        <v>1.41</v>
      </c>
      <c r="AF28" s="123">
        <v>0.01</v>
      </c>
      <c r="AG28" s="122">
        <v>1.4</v>
      </c>
      <c r="AI28" s="105" t="s">
        <v>17</v>
      </c>
      <c r="AJ28" s="116">
        <v>175.13</v>
      </c>
      <c r="AK28" s="116">
        <v>4.34</v>
      </c>
      <c r="AL28" s="116">
        <v>301.7</v>
      </c>
      <c r="AM28" s="116">
        <v>4.34</v>
      </c>
      <c r="AN28" s="116">
        <v>304.05</v>
      </c>
      <c r="AO28" s="116">
        <v>4.54</v>
      </c>
      <c r="AP28" s="116">
        <v>18.899999999999999</v>
      </c>
      <c r="AQ28" s="116">
        <v>4.21</v>
      </c>
      <c r="AR28" s="116">
        <v>20.96</v>
      </c>
      <c r="AS28" s="116">
        <v>4.2</v>
      </c>
      <c r="AT28" s="116">
        <v>224.19</v>
      </c>
      <c r="AU28" s="116">
        <v>4.87</v>
      </c>
      <c r="AV28" s="97">
        <v>1044.93</v>
      </c>
      <c r="AW28" s="117">
        <v>4.5</v>
      </c>
    </row>
    <row r="29" spans="3:49" ht="54" x14ac:dyDescent="0.25">
      <c r="C29" s="105" t="s">
        <v>16</v>
      </c>
      <c r="D29" s="97">
        <v>3719.94</v>
      </c>
      <c r="E29" s="123">
        <v>100</v>
      </c>
      <c r="F29" s="97">
        <v>6018.78</v>
      </c>
      <c r="G29" s="123">
        <v>100</v>
      </c>
      <c r="H29" s="97">
        <v>5561.69</v>
      </c>
      <c r="I29" s="123">
        <v>100</v>
      </c>
      <c r="J29" s="123">
        <v>410.52</v>
      </c>
      <c r="K29" s="123">
        <v>100</v>
      </c>
      <c r="L29" s="123">
        <v>463.35</v>
      </c>
      <c r="M29" s="123">
        <v>100</v>
      </c>
      <c r="N29" s="97">
        <v>4333.3</v>
      </c>
      <c r="O29" s="123">
        <v>100</v>
      </c>
      <c r="P29" s="97">
        <v>20507.57</v>
      </c>
      <c r="Q29" s="122">
        <v>100</v>
      </c>
      <c r="T29" s="103" t="s">
        <v>146</v>
      </c>
      <c r="U29" s="229" t="s">
        <v>56</v>
      </c>
      <c r="V29" s="228">
        <v>4.68</v>
      </c>
      <c r="W29" s="228">
        <v>0.36</v>
      </c>
      <c r="X29" s="228">
        <v>4.26</v>
      </c>
      <c r="Y29" s="228">
        <v>0.38</v>
      </c>
      <c r="Z29" s="228">
        <v>2.3199999999999998</v>
      </c>
      <c r="AA29" s="228">
        <v>0.39</v>
      </c>
      <c r="AB29" s="228">
        <v>6.53</v>
      </c>
      <c r="AC29" s="228">
        <v>0.38</v>
      </c>
      <c r="AD29" s="228">
        <v>9.1</v>
      </c>
      <c r="AE29" s="228">
        <v>0.39</v>
      </c>
      <c r="AF29" s="228">
        <v>4.63</v>
      </c>
      <c r="AG29" s="230">
        <v>0.38</v>
      </c>
      <c r="AI29" s="105" t="s">
        <v>18</v>
      </c>
      <c r="AJ29" s="97">
        <v>3847.88</v>
      </c>
      <c r="AK29" s="116">
        <v>95.3</v>
      </c>
      <c r="AL29" s="97">
        <v>6667.59</v>
      </c>
      <c r="AM29" s="116">
        <v>95.84</v>
      </c>
      <c r="AN29" s="97">
        <v>6408.08</v>
      </c>
      <c r="AO29" s="116">
        <v>95.73</v>
      </c>
      <c r="AP29" s="116">
        <v>429.8</v>
      </c>
      <c r="AQ29" s="116">
        <v>95.72</v>
      </c>
      <c r="AR29" s="116">
        <v>477.5</v>
      </c>
      <c r="AS29" s="116">
        <v>95.78</v>
      </c>
      <c r="AT29" s="97">
        <v>4395.01</v>
      </c>
      <c r="AU29" s="116">
        <v>95.38</v>
      </c>
      <c r="AV29" s="97">
        <v>22225.85</v>
      </c>
      <c r="AW29" s="117">
        <v>95.62</v>
      </c>
    </row>
    <row r="30" spans="3:49" ht="40.5" x14ac:dyDescent="0.25">
      <c r="C30" s="105" t="s">
        <v>17</v>
      </c>
      <c r="D30" s="123">
        <v>175.08</v>
      </c>
      <c r="E30" s="123">
        <v>4.71</v>
      </c>
      <c r="F30" s="123">
        <v>282.55</v>
      </c>
      <c r="G30" s="123">
        <v>4.6900000000000004</v>
      </c>
      <c r="H30" s="123">
        <v>274.20999999999998</v>
      </c>
      <c r="I30" s="123">
        <v>4.93</v>
      </c>
      <c r="J30" s="123">
        <v>19.059999999999999</v>
      </c>
      <c r="K30" s="123">
        <v>4.6399999999999997</v>
      </c>
      <c r="L30" s="123">
        <v>22.53</v>
      </c>
      <c r="M30" s="123">
        <v>4.8600000000000003</v>
      </c>
      <c r="N30" s="123">
        <v>235.73</v>
      </c>
      <c r="O30" s="123">
        <v>5.44</v>
      </c>
      <c r="P30" s="97">
        <v>1009.16</v>
      </c>
      <c r="Q30" s="122">
        <v>4.92</v>
      </c>
      <c r="T30" s="103" t="s">
        <v>46</v>
      </c>
      <c r="U30" s="229"/>
      <c r="V30" s="228"/>
      <c r="W30" s="228"/>
      <c r="X30" s="228"/>
      <c r="Y30" s="228"/>
      <c r="Z30" s="228"/>
      <c r="AA30" s="228"/>
      <c r="AB30" s="228"/>
      <c r="AC30" s="228"/>
      <c r="AD30" s="228"/>
      <c r="AE30" s="228"/>
      <c r="AF30" s="228"/>
      <c r="AG30" s="230"/>
      <c r="AI30" s="105" t="s">
        <v>19</v>
      </c>
      <c r="AJ30" s="116">
        <v>14.08</v>
      </c>
      <c r="AK30" s="116">
        <v>0.35</v>
      </c>
      <c r="AL30" s="116">
        <v>-12.7</v>
      </c>
      <c r="AM30" s="116">
        <v>-0.18</v>
      </c>
      <c r="AN30" s="116">
        <v>-19.649999999999999</v>
      </c>
      <c r="AO30" s="116">
        <v>-0.28999999999999998</v>
      </c>
      <c r="AP30" s="116">
        <v>-0.03</v>
      </c>
      <c r="AQ30" s="116">
        <v>-0.01</v>
      </c>
      <c r="AR30" s="116">
        <v>-0.01</v>
      </c>
      <c r="AS30" s="116">
        <v>0</v>
      </c>
      <c r="AT30" s="116">
        <v>-11.65</v>
      </c>
      <c r="AU30" s="116">
        <v>-0.25</v>
      </c>
      <c r="AV30" s="116">
        <v>-29.96</v>
      </c>
      <c r="AW30" s="117">
        <v>-0.13</v>
      </c>
    </row>
    <row r="31" spans="3:49" ht="27.75" thickBot="1" x14ac:dyDescent="0.3">
      <c r="C31" s="105" t="s">
        <v>18</v>
      </c>
      <c r="D31" s="97">
        <v>3528.28</v>
      </c>
      <c r="E31" s="123">
        <v>94.85</v>
      </c>
      <c r="F31" s="97">
        <v>5742.03</v>
      </c>
      <c r="G31" s="123">
        <v>95.4</v>
      </c>
      <c r="H31" s="97">
        <v>5289.18</v>
      </c>
      <c r="I31" s="123">
        <v>95.1</v>
      </c>
      <c r="J31" s="123">
        <v>391.08</v>
      </c>
      <c r="K31" s="123">
        <v>95.27</v>
      </c>
      <c r="L31" s="123">
        <v>440.6</v>
      </c>
      <c r="M31" s="123">
        <v>95.09</v>
      </c>
      <c r="N31" s="97">
        <v>4103.37</v>
      </c>
      <c r="O31" s="123">
        <v>94.69</v>
      </c>
      <c r="P31" s="97">
        <v>19494.55</v>
      </c>
      <c r="Q31" s="122">
        <v>95.06</v>
      </c>
      <c r="T31" s="103" t="s">
        <v>46</v>
      </c>
      <c r="U31" s="124" t="s">
        <v>58</v>
      </c>
      <c r="V31" s="123">
        <v>0.14000000000000001</v>
      </c>
      <c r="W31" s="123">
        <v>2.82</v>
      </c>
      <c r="X31" s="123">
        <v>0.93</v>
      </c>
      <c r="Y31" s="123">
        <v>2.59</v>
      </c>
      <c r="Z31" s="123">
        <v>1.48</v>
      </c>
      <c r="AA31" s="123">
        <v>2.35</v>
      </c>
      <c r="AB31" s="123">
        <v>4.53</v>
      </c>
      <c r="AC31" s="123">
        <v>2.33</v>
      </c>
      <c r="AD31" s="123">
        <v>7.3</v>
      </c>
      <c r="AE31" s="123">
        <v>2.48</v>
      </c>
      <c r="AF31" s="123">
        <v>2.4500000000000002</v>
      </c>
      <c r="AG31" s="122">
        <v>2.42</v>
      </c>
      <c r="AI31" s="106" t="s">
        <v>20</v>
      </c>
      <c r="AJ31" s="107">
        <v>0.64</v>
      </c>
      <c r="AK31" s="107">
        <v>0.02</v>
      </c>
      <c r="AL31" s="107">
        <v>0.28000000000000003</v>
      </c>
      <c r="AM31" s="107">
        <v>0</v>
      </c>
      <c r="AN31" s="107">
        <v>1.76</v>
      </c>
      <c r="AO31" s="107">
        <v>0.03</v>
      </c>
      <c r="AP31" s="107">
        <v>0.34</v>
      </c>
      <c r="AQ31" s="107">
        <v>0.08</v>
      </c>
      <c r="AR31" s="107">
        <v>0.11</v>
      </c>
      <c r="AS31" s="107">
        <v>0.02</v>
      </c>
      <c r="AT31" s="107">
        <v>0.16</v>
      </c>
      <c r="AU31" s="107">
        <v>0</v>
      </c>
      <c r="AV31" s="107">
        <v>3.3</v>
      </c>
      <c r="AW31" s="108">
        <v>0.01</v>
      </c>
    </row>
    <row r="32" spans="3:49" ht="27" x14ac:dyDescent="0.25">
      <c r="C32" s="105" t="s">
        <v>19</v>
      </c>
      <c r="D32" s="123">
        <v>15.73</v>
      </c>
      <c r="E32" s="123">
        <v>0.42</v>
      </c>
      <c r="F32" s="123">
        <v>-8.5</v>
      </c>
      <c r="G32" s="123">
        <v>-0.14000000000000001</v>
      </c>
      <c r="H32" s="123">
        <v>-5.0599999999999996</v>
      </c>
      <c r="I32" s="123">
        <v>-0.09</v>
      </c>
      <c r="J32" s="123">
        <v>-0.02</v>
      </c>
      <c r="K32" s="123">
        <v>-0.01</v>
      </c>
      <c r="L32" s="123">
        <v>-0.08</v>
      </c>
      <c r="M32" s="123">
        <v>-0.02</v>
      </c>
      <c r="N32" s="123">
        <v>-7.21</v>
      </c>
      <c r="O32" s="123">
        <v>-0.17</v>
      </c>
      <c r="P32" s="123">
        <v>-5.15</v>
      </c>
      <c r="Q32" s="122">
        <v>-0.03</v>
      </c>
      <c r="T32" s="103" t="s">
        <v>147</v>
      </c>
      <c r="U32" s="229" t="s">
        <v>165</v>
      </c>
      <c r="V32" s="228" t="s">
        <v>139</v>
      </c>
      <c r="W32" s="228" t="s">
        <v>139</v>
      </c>
      <c r="X32" s="228" t="s">
        <v>139</v>
      </c>
      <c r="Y32" s="228" t="s">
        <v>139</v>
      </c>
      <c r="Z32" s="228">
        <v>0</v>
      </c>
      <c r="AA32" s="228">
        <v>10.7</v>
      </c>
      <c r="AB32" s="228">
        <v>0.01</v>
      </c>
      <c r="AC32" s="228">
        <v>10.7</v>
      </c>
      <c r="AD32" s="228">
        <v>0.01</v>
      </c>
      <c r="AE32" s="228">
        <v>10.7</v>
      </c>
      <c r="AF32" s="228">
        <v>0</v>
      </c>
      <c r="AG32" s="230">
        <v>10.7</v>
      </c>
    </row>
    <row r="33" spans="3:47" ht="27.75" thickBot="1" x14ac:dyDescent="0.3">
      <c r="C33" s="106" t="s">
        <v>20</v>
      </c>
      <c r="D33" s="107">
        <v>0.85</v>
      </c>
      <c r="E33" s="107">
        <v>0.02</v>
      </c>
      <c r="F33" s="107">
        <v>2.69</v>
      </c>
      <c r="G33" s="107">
        <v>0.04</v>
      </c>
      <c r="H33" s="107">
        <v>3.36</v>
      </c>
      <c r="I33" s="107">
        <v>0.06</v>
      </c>
      <c r="J33" s="107">
        <v>0.4</v>
      </c>
      <c r="K33" s="107">
        <v>0.1</v>
      </c>
      <c r="L33" s="107">
        <v>0.3</v>
      </c>
      <c r="M33" s="107">
        <v>7.0000000000000007E-2</v>
      </c>
      <c r="N33" s="107">
        <v>1.4</v>
      </c>
      <c r="O33" s="107">
        <v>0.03</v>
      </c>
      <c r="P33" s="107">
        <v>9.01</v>
      </c>
      <c r="Q33" s="108">
        <v>0.04</v>
      </c>
      <c r="T33" s="103" t="s">
        <v>49</v>
      </c>
      <c r="U33" s="229"/>
      <c r="V33" s="228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230"/>
    </row>
    <row r="34" spans="3:47" ht="27.75" thickBot="1" x14ac:dyDescent="0.3">
      <c r="C34" s="3" t="s">
        <v>27</v>
      </c>
      <c r="D34" s="3" t="s">
        <v>140</v>
      </c>
      <c r="E34" s="3" t="s">
        <v>149</v>
      </c>
      <c r="F34" s="3" t="s">
        <v>150</v>
      </c>
      <c r="G34" s="3" t="s">
        <v>151</v>
      </c>
      <c r="H34" s="3" t="s">
        <v>28</v>
      </c>
      <c r="I34" s="3" t="s">
        <v>173</v>
      </c>
      <c r="J34" s="231">
        <v>7.84</v>
      </c>
      <c r="K34" s="233">
        <v>0.01</v>
      </c>
      <c r="L34" s="233">
        <v>7.84</v>
      </c>
      <c r="M34" s="233">
        <v>0.01</v>
      </c>
      <c r="N34" s="233">
        <v>7.84</v>
      </c>
      <c r="O34" s="233">
        <v>0</v>
      </c>
      <c r="P34" s="242">
        <v>7.84</v>
      </c>
      <c r="T34" s="103" t="s">
        <v>49</v>
      </c>
      <c r="U34" s="124" t="s">
        <v>61</v>
      </c>
      <c r="V34" s="123" t="s">
        <v>139</v>
      </c>
      <c r="W34" s="123" t="s">
        <v>139</v>
      </c>
      <c r="X34" s="123">
        <v>0.02</v>
      </c>
      <c r="Y34" s="123">
        <v>6.2</v>
      </c>
      <c r="Z34" s="123">
        <v>0.02</v>
      </c>
      <c r="AA34" s="123">
        <v>6.2</v>
      </c>
      <c r="AB34" s="123">
        <v>0.04</v>
      </c>
      <c r="AC34" s="123">
        <v>6.2</v>
      </c>
      <c r="AD34" s="123">
        <v>0.02</v>
      </c>
      <c r="AE34" s="123">
        <v>6.2</v>
      </c>
      <c r="AF34" s="123">
        <v>0.02</v>
      </c>
      <c r="AG34" s="122">
        <v>6.2</v>
      </c>
    </row>
    <row r="35" spans="3:47" ht="15" customHeight="1" x14ac:dyDescent="0.25">
      <c r="C35" s="109" t="s">
        <v>63</v>
      </c>
      <c r="D35" s="120">
        <v>1841</v>
      </c>
      <c r="E35" s="120">
        <v>1672</v>
      </c>
      <c r="F35" s="120">
        <v>1682</v>
      </c>
      <c r="G35" s="120">
        <v>1669</v>
      </c>
      <c r="H35" s="120">
        <v>1769</v>
      </c>
      <c r="I35" s="121">
        <v>1704</v>
      </c>
      <c r="J35" s="232"/>
      <c r="K35" s="234"/>
      <c r="L35" s="234"/>
      <c r="M35" s="234"/>
      <c r="N35" s="234"/>
      <c r="O35" s="234"/>
      <c r="P35" s="243"/>
      <c r="T35" s="103" t="s">
        <v>49</v>
      </c>
      <c r="U35" s="124" t="s">
        <v>58</v>
      </c>
      <c r="V35" s="123">
        <v>0.01</v>
      </c>
      <c r="W35" s="123">
        <v>2.96</v>
      </c>
      <c r="X35" s="123">
        <v>0.03</v>
      </c>
      <c r="Y35" s="123">
        <v>2.96</v>
      </c>
      <c r="Z35" s="123">
        <v>0.04</v>
      </c>
      <c r="AA35" s="123">
        <v>2.96</v>
      </c>
      <c r="AB35" s="123">
        <v>0.04</v>
      </c>
      <c r="AC35" s="123">
        <v>2.96</v>
      </c>
      <c r="AD35" s="123">
        <v>0.01</v>
      </c>
      <c r="AE35" s="123">
        <v>2.96</v>
      </c>
      <c r="AF35" s="123">
        <v>0.03</v>
      </c>
      <c r="AG35" s="122">
        <v>2.96</v>
      </c>
    </row>
    <row r="36" spans="3:47" ht="15.75" x14ac:dyDescent="0.3">
      <c r="C36" s="103" t="s">
        <v>30</v>
      </c>
      <c r="D36" s="123">
        <v>4919</v>
      </c>
      <c r="E36" s="123">
        <v>2588</v>
      </c>
      <c r="F36" s="123">
        <v>3486</v>
      </c>
      <c r="G36" s="123">
        <v>2783</v>
      </c>
      <c r="H36" s="123">
        <v>2569</v>
      </c>
      <c r="I36" s="122">
        <v>2973</v>
      </c>
      <c r="J36" s="114">
        <v>6.03</v>
      </c>
      <c r="K36" s="114">
        <v>0.04</v>
      </c>
      <c r="L36" s="114">
        <v>6.03</v>
      </c>
      <c r="M36" s="114">
        <v>0.02</v>
      </c>
      <c r="N36" s="114">
        <v>6.03</v>
      </c>
      <c r="O36" s="114">
        <v>0.02</v>
      </c>
      <c r="P36" s="115">
        <v>6.03</v>
      </c>
      <c r="T36" s="103" t="s">
        <v>49</v>
      </c>
      <c r="U36" s="124" t="s">
        <v>57</v>
      </c>
      <c r="V36" s="123" t="s">
        <v>139</v>
      </c>
      <c r="W36" s="123" t="s">
        <v>139</v>
      </c>
      <c r="X36" s="123">
        <v>0</v>
      </c>
      <c r="Y36" s="123">
        <v>5.23</v>
      </c>
      <c r="Z36" s="123">
        <v>0.01</v>
      </c>
      <c r="AA36" s="123">
        <v>6.01</v>
      </c>
      <c r="AB36" s="123">
        <v>0.01</v>
      </c>
      <c r="AC36" s="123">
        <v>5.23</v>
      </c>
      <c r="AD36" s="123" t="s">
        <v>139</v>
      </c>
      <c r="AE36" s="123" t="s">
        <v>139</v>
      </c>
      <c r="AF36" s="123">
        <v>0.01</v>
      </c>
      <c r="AG36" s="122">
        <v>5.63</v>
      </c>
    </row>
    <row r="37" spans="3:47" ht="16.5" thickBot="1" x14ac:dyDescent="0.35">
      <c r="C37" s="103" t="s">
        <v>31</v>
      </c>
      <c r="D37" s="123">
        <v>955</v>
      </c>
      <c r="E37" s="123">
        <v>957</v>
      </c>
      <c r="F37" s="123">
        <v>1109</v>
      </c>
      <c r="G37" s="123">
        <v>588</v>
      </c>
      <c r="H37" s="123">
        <v>642</v>
      </c>
      <c r="I37" s="122">
        <v>937</v>
      </c>
      <c r="J37" s="114">
        <v>3.87</v>
      </c>
      <c r="K37" s="114">
        <v>0.03</v>
      </c>
      <c r="L37" s="114">
        <v>3.87</v>
      </c>
      <c r="M37" s="114">
        <v>0.01</v>
      </c>
      <c r="N37" s="114">
        <v>3.87</v>
      </c>
      <c r="O37" s="114">
        <v>0.02</v>
      </c>
      <c r="P37" s="115">
        <v>3.87</v>
      </c>
      <c r="T37" s="103" t="s">
        <v>50</v>
      </c>
      <c r="U37" s="124" t="s">
        <v>163</v>
      </c>
      <c r="V37" s="123">
        <v>0</v>
      </c>
      <c r="W37" s="123">
        <v>2.64</v>
      </c>
      <c r="X37" s="123" t="s">
        <v>139</v>
      </c>
      <c r="Y37" s="123" t="s">
        <v>139</v>
      </c>
      <c r="Z37" s="123" t="s">
        <v>139</v>
      </c>
      <c r="AA37" s="123" t="s">
        <v>139</v>
      </c>
      <c r="AB37" s="123" t="s">
        <v>139</v>
      </c>
      <c r="AC37" s="123" t="s">
        <v>139</v>
      </c>
      <c r="AD37" s="123" t="s">
        <v>139</v>
      </c>
      <c r="AE37" s="123" t="s">
        <v>139</v>
      </c>
      <c r="AF37" s="123">
        <v>0</v>
      </c>
      <c r="AG37" s="122">
        <v>2.64</v>
      </c>
    </row>
    <row r="38" spans="3:47" ht="16.5" thickBot="1" x14ac:dyDescent="0.35">
      <c r="C38" s="103" t="s">
        <v>32</v>
      </c>
      <c r="D38" s="123">
        <v>1076</v>
      </c>
      <c r="E38" s="123">
        <v>945</v>
      </c>
      <c r="F38" s="123">
        <v>568</v>
      </c>
      <c r="G38" s="123">
        <v>821</v>
      </c>
      <c r="H38" s="123">
        <v>837</v>
      </c>
      <c r="I38" s="122">
        <v>763</v>
      </c>
      <c r="J38" s="114">
        <v>5.2</v>
      </c>
      <c r="K38" s="114">
        <v>0.02</v>
      </c>
      <c r="L38" s="114">
        <v>5.2</v>
      </c>
      <c r="M38" s="114" t="s">
        <v>139</v>
      </c>
      <c r="N38" s="114" t="s">
        <v>139</v>
      </c>
      <c r="O38" s="114">
        <v>0.01</v>
      </c>
      <c r="P38" s="115">
        <v>5.2</v>
      </c>
      <c r="S38" s="219" t="s">
        <v>107</v>
      </c>
      <c r="T38" s="103" t="s">
        <v>50</v>
      </c>
      <c r="U38" s="124" t="s">
        <v>60</v>
      </c>
      <c r="V38" s="123">
        <v>0.02</v>
      </c>
      <c r="W38" s="123">
        <v>12.37</v>
      </c>
      <c r="X38" s="123">
        <v>0.02</v>
      </c>
      <c r="Y38" s="123">
        <v>12.37</v>
      </c>
      <c r="Z38" s="123">
        <v>0.03</v>
      </c>
      <c r="AA38" s="123">
        <v>12.5</v>
      </c>
      <c r="AB38" s="123">
        <v>0.04</v>
      </c>
      <c r="AC38" s="123">
        <v>12.37</v>
      </c>
      <c r="AD38" s="123">
        <v>0.01</v>
      </c>
      <c r="AE38" s="123">
        <v>12.37</v>
      </c>
      <c r="AF38" s="123">
        <v>0.03</v>
      </c>
      <c r="AG38" s="122">
        <v>12.42</v>
      </c>
      <c r="AH38" s="17" t="s">
        <v>51</v>
      </c>
      <c r="AI38" s="18" t="s">
        <v>62</v>
      </c>
      <c r="AJ38" s="62" t="s">
        <v>139</v>
      </c>
      <c r="AK38" s="62" t="s">
        <v>139</v>
      </c>
      <c r="AL38" s="62" t="s">
        <v>139</v>
      </c>
      <c r="AM38" s="62" t="s">
        <v>139</v>
      </c>
      <c r="AN38" s="62" t="s">
        <v>139</v>
      </c>
      <c r="AO38" s="62" t="s">
        <v>139</v>
      </c>
      <c r="AP38" s="62">
        <v>0</v>
      </c>
      <c r="AQ38" s="62">
        <v>0.72</v>
      </c>
      <c r="AR38" s="62" t="s">
        <v>139</v>
      </c>
      <c r="AS38" s="62" t="s">
        <v>139</v>
      </c>
      <c r="AT38" s="62">
        <v>0</v>
      </c>
      <c r="AU38" s="61">
        <v>0.72</v>
      </c>
    </row>
    <row r="39" spans="3:47" ht="41.25" thickBot="1" x14ac:dyDescent="0.35">
      <c r="C39" s="103" t="s">
        <v>33</v>
      </c>
      <c r="D39" s="123">
        <v>3933</v>
      </c>
      <c r="E39" s="123">
        <v>2438</v>
      </c>
      <c r="F39" s="123">
        <v>3127</v>
      </c>
      <c r="G39" s="123">
        <v>2556</v>
      </c>
      <c r="H39" s="123">
        <v>2418</v>
      </c>
      <c r="I39" s="122">
        <v>2725</v>
      </c>
      <c r="J39" s="114" t="s">
        <v>139</v>
      </c>
      <c r="K39" s="114" t="s">
        <v>139</v>
      </c>
      <c r="L39" s="114" t="s">
        <v>139</v>
      </c>
      <c r="M39" s="114" t="s">
        <v>139</v>
      </c>
      <c r="N39" s="114" t="s">
        <v>139</v>
      </c>
      <c r="O39" s="114">
        <v>0</v>
      </c>
      <c r="P39" s="115">
        <v>2.52</v>
      </c>
      <c r="S39" s="220"/>
      <c r="T39" s="103" t="s">
        <v>50</v>
      </c>
      <c r="U39" s="124" t="s">
        <v>166</v>
      </c>
      <c r="V39" s="123">
        <v>0</v>
      </c>
      <c r="W39" s="123">
        <v>0.72</v>
      </c>
      <c r="X39" s="123" t="s">
        <v>139</v>
      </c>
      <c r="Y39" s="123" t="s">
        <v>139</v>
      </c>
      <c r="Z39" s="123" t="s">
        <v>139</v>
      </c>
      <c r="AA39" s="123" t="s">
        <v>139</v>
      </c>
      <c r="AB39" s="123" t="s">
        <v>139</v>
      </c>
      <c r="AC39" s="123" t="s">
        <v>139</v>
      </c>
      <c r="AD39" s="123" t="s">
        <v>139</v>
      </c>
      <c r="AE39" s="123" t="s">
        <v>139</v>
      </c>
      <c r="AF39" s="123">
        <v>0</v>
      </c>
      <c r="AG39" s="122">
        <v>0.72</v>
      </c>
    </row>
    <row r="40" spans="3:47" ht="27" x14ac:dyDescent="0.3">
      <c r="C40" s="103" t="s">
        <v>126</v>
      </c>
      <c r="D40" s="123" t="s">
        <v>139</v>
      </c>
      <c r="E40" s="123" t="s">
        <v>139</v>
      </c>
      <c r="F40" s="123">
        <v>2659</v>
      </c>
      <c r="G40" s="123">
        <v>2666</v>
      </c>
      <c r="H40" s="123">
        <v>2693</v>
      </c>
      <c r="I40" s="122">
        <v>2669</v>
      </c>
      <c r="J40" s="114">
        <v>9.6999999999999993</v>
      </c>
      <c r="K40" s="114">
        <v>0.08</v>
      </c>
      <c r="L40" s="114">
        <v>9.74</v>
      </c>
      <c r="M40" s="114">
        <v>0.06</v>
      </c>
      <c r="N40" s="114">
        <v>-0.86</v>
      </c>
      <c r="O40" s="114">
        <v>0.05</v>
      </c>
      <c r="P40" s="115">
        <v>8.2899999999999991</v>
      </c>
      <c r="S40" s="34" t="s">
        <v>155</v>
      </c>
      <c r="T40" s="103" t="s">
        <v>50</v>
      </c>
      <c r="U40" s="124" t="s">
        <v>62</v>
      </c>
      <c r="V40" s="123" t="s">
        <v>139</v>
      </c>
      <c r="W40" s="123" t="s">
        <v>139</v>
      </c>
      <c r="X40" s="123">
        <v>0</v>
      </c>
      <c r="Y40" s="123">
        <v>1.71</v>
      </c>
      <c r="Z40" s="123" t="s">
        <v>139</v>
      </c>
      <c r="AA40" s="123" t="s">
        <v>139</v>
      </c>
      <c r="AB40" s="123" t="s">
        <v>139</v>
      </c>
      <c r="AC40" s="123" t="s">
        <v>139</v>
      </c>
      <c r="AD40" s="123" t="s">
        <v>139</v>
      </c>
      <c r="AE40" s="123" t="s">
        <v>139</v>
      </c>
      <c r="AF40" s="123">
        <v>0</v>
      </c>
      <c r="AG40" s="122">
        <v>1.71</v>
      </c>
    </row>
    <row r="41" spans="3:47" ht="15.75" x14ac:dyDescent="0.3">
      <c r="C41" s="103" t="s">
        <v>34</v>
      </c>
      <c r="D41" s="123">
        <v>3343</v>
      </c>
      <c r="E41" s="123">
        <v>3260</v>
      </c>
      <c r="F41" s="123">
        <v>3751</v>
      </c>
      <c r="G41" s="123">
        <v>3474</v>
      </c>
      <c r="H41" s="123">
        <v>3396</v>
      </c>
      <c r="I41" s="122">
        <v>3527</v>
      </c>
      <c r="J41" s="114" t="s">
        <v>139</v>
      </c>
      <c r="K41" s="114" t="s">
        <v>139</v>
      </c>
      <c r="L41" s="114" t="s">
        <v>139</v>
      </c>
      <c r="M41" s="114" t="s">
        <v>139</v>
      </c>
      <c r="N41" s="114" t="s">
        <v>139</v>
      </c>
      <c r="O41" s="114">
        <v>0</v>
      </c>
      <c r="P41" s="115">
        <v>0.32</v>
      </c>
      <c r="S41" s="5" t="s">
        <v>156</v>
      </c>
      <c r="T41" s="103" t="s">
        <v>50</v>
      </c>
      <c r="U41" s="124" t="s">
        <v>61</v>
      </c>
      <c r="V41" s="123">
        <v>0.34</v>
      </c>
      <c r="W41" s="123">
        <v>6.18</v>
      </c>
      <c r="X41" s="123">
        <v>0.82</v>
      </c>
      <c r="Y41" s="123">
        <v>3.95</v>
      </c>
      <c r="Z41" s="123">
        <v>1.1399999999999999</v>
      </c>
      <c r="AA41" s="123">
        <v>4.08</v>
      </c>
      <c r="AB41" s="123">
        <v>1.26</v>
      </c>
      <c r="AC41" s="123">
        <v>2.2599999999999998</v>
      </c>
      <c r="AD41" s="123">
        <v>1.29</v>
      </c>
      <c r="AE41" s="123">
        <v>4.25</v>
      </c>
      <c r="AF41" s="123">
        <v>0.99</v>
      </c>
      <c r="AG41" s="122">
        <v>3.83</v>
      </c>
    </row>
    <row r="42" spans="3:47" ht="27.75" thickBot="1" x14ac:dyDescent="0.35">
      <c r="C42" s="103" t="s">
        <v>35</v>
      </c>
      <c r="D42" s="123">
        <v>5395</v>
      </c>
      <c r="E42" s="123">
        <v>3856</v>
      </c>
      <c r="F42" s="123">
        <v>4353</v>
      </c>
      <c r="G42" s="123">
        <v>3955</v>
      </c>
      <c r="H42" s="123">
        <v>3646</v>
      </c>
      <c r="I42" s="122">
        <v>4026</v>
      </c>
      <c r="J42" s="114" t="s">
        <v>139</v>
      </c>
      <c r="K42" s="114" t="s">
        <v>139</v>
      </c>
      <c r="L42" s="114" t="s">
        <v>139</v>
      </c>
      <c r="M42" s="114" t="s">
        <v>139</v>
      </c>
      <c r="N42" s="114" t="s">
        <v>139</v>
      </c>
      <c r="O42" s="114">
        <v>0</v>
      </c>
      <c r="P42" s="115">
        <v>1.63</v>
      </c>
      <c r="S42" s="5" t="s">
        <v>157</v>
      </c>
      <c r="T42" s="112" t="s">
        <v>50</v>
      </c>
      <c r="U42" s="113" t="s">
        <v>57</v>
      </c>
      <c r="V42" s="107">
        <v>0.64</v>
      </c>
      <c r="W42" s="107">
        <v>0.73</v>
      </c>
      <c r="X42" s="107">
        <v>0.31</v>
      </c>
      <c r="Y42" s="107">
        <v>0.56999999999999995</v>
      </c>
      <c r="Z42" s="107">
        <v>1.04</v>
      </c>
      <c r="AA42" s="107">
        <v>0.55000000000000004</v>
      </c>
      <c r="AB42" s="107">
        <v>0.44</v>
      </c>
      <c r="AC42" s="107">
        <v>1.02</v>
      </c>
      <c r="AD42" s="107">
        <v>0.49</v>
      </c>
      <c r="AE42" s="107">
        <v>1.27</v>
      </c>
      <c r="AF42" s="107">
        <v>0.68</v>
      </c>
      <c r="AG42" s="108">
        <v>0.7</v>
      </c>
    </row>
    <row r="43" spans="3:47" ht="41.25" thickBot="1" x14ac:dyDescent="0.35">
      <c r="C43" s="103" t="s">
        <v>36</v>
      </c>
      <c r="D43" s="123">
        <v>4917</v>
      </c>
      <c r="E43" s="123">
        <v>3697</v>
      </c>
      <c r="F43" s="123">
        <v>4197</v>
      </c>
      <c r="G43" s="123">
        <v>3825</v>
      </c>
      <c r="H43" s="123">
        <v>3574</v>
      </c>
      <c r="I43" s="122">
        <v>3892</v>
      </c>
      <c r="J43" s="114">
        <v>0.89</v>
      </c>
      <c r="K43" s="114">
        <v>0.72</v>
      </c>
      <c r="L43" s="114">
        <v>-1.1299999999999999</v>
      </c>
      <c r="M43" s="114">
        <v>0.63</v>
      </c>
      <c r="N43" s="114">
        <v>1.6</v>
      </c>
      <c r="O43" s="114">
        <v>0.46</v>
      </c>
      <c r="P43" s="115">
        <v>0.98</v>
      </c>
      <c r="S43" s="4" t="s">
        <v>111</v>
      </c>
      <c r="T43" s="112" t="s">
        <v>50</v>
      </c>
      <c r="U43" s="113" t="s">
        <v>57</v>
      </c>
      <c r="V43" s="107">
        <v>1.04</v>
      </c>
      <c r="W43" s="107">
        <v>0.42</v>
      </c>
      <c r="X43" s="107">
        <v>0.49</v>
      </c>
      <c r="Y43" s="107">
        <v>0.57999999999999996</v>
      </c>
      <c r="Z43" s="107">
        <v>0.97</v>
      </c>
      <c r="AA43" s="107">
        <v>0.5</v>
      </c>
      <c r="AB43" s="107">
        <v>0.48</v>
      </c>
      <c r="AC43" s="107">
        <v>0.92</v>
      </c>
      <c r="AD43" s="107">
        <v>0.24</v>
      </c>
      <c r="AE43" s="107">
        <v>0.63</v>
      </c>
      <c r="AF43" s="107">
        <v>0.71</v>
      </c>
      <c r="AG43" s="108">
        <v>0.54</v>
      </c>
    </row>
    <row r="44" spans="3:47" ht="16.5" thickBot="1" x14ac:dyDescent="0.35">
      <c r="C44" s="103" t="s">
        <v>37</v>
      </c>
      <c r="D44" s="123">
        <v>656</v>
      </c>
      <c r="E44" s="123">
        <v>499</v>
      </c>
      <c r="F44" s="123">
        <v>453</v>
      </c>
      <c r="G44" s="123">
        <v>559</v>
      </c>
      <c r="H44" s="123">
        <v>869</v>
      </c>
      <c r="I44" s="122">
        <v>573</v>
      </c>
      <c r="J44" s="62">
        <v>0.47</v>
      </c>
      <c r="K44" s="62">
        <v>0.41</v>
      </c>
      <c r="L44" s="62">
        <v>0.42</v>
      </c>
      <c r="M44" s="62">
        <v>1.1299999999999999</v>
      </c>
      <c r="N44" s="62">
        <v>0.14000000000000001</v>
      </c>
      <c r="O44" s="62">
        <v>0.4</v>
      </c>
      <c r="P44" s="61">
        <v>0.32</v>
      </c>
      <c r="S44" s="5" t="s">
        <v>156</v>
      </c>
      <c r="T44" s="112" t="s">
        <v>50</v>
      </c>
      <c r="U44" s="113" t="s">
        <v>57</v>
      </c>
      <c r="V44" s="107">
        <v>0.99</v>
      </c>
      <c r="W44" s="107">
        <v>0.65</v>
      </c>
      <c r="X44" s="107">
        <v>0.92</v>
      </c>
      <c r="Y44" s="107">
        <v>1.35</v>
      </c>
      <c r="Z44" s="107">
        <v>0.82</v>
      </c>
      <c r="AA44" s="107">
        <v>1.57</v>
      </c>
      <c r="AB44" s="107">
        <v>0.93</v>
      </c>
      <c r="AC44" s="107">
        <v>1.49</v>
      </c>
      <c r="AD44" s="107">
        <v>0.61</v>
      </c>
      <c r="AE44" s="107">
        <v>1.33</v>
      </c>
      <c r="AF44" s="107">
        <v>0.85</v>
      </c>
      <c r="AG44" s="108">
        <v>1.33</v>
      </c>
    </row>
    <row r="45" spans="3:47" ht="27.75" thickBot="1" x14ac:dyDescent="0.35">
      <c r="C45" s="103" t="s">
        <v>38</v>
      </c>
      <c r="D45" s="123">
        <v>1799</v>
      </c>
      <c r="E45" s="123">
        <v>1828</v>
      </c>
      <c r="F45" s="123">
        <v>2186</v>
      </c>
      <c r="G45" s="123">
        <v>2099</v>
      </c>
      <c r="H45" s="123">
        <v>2405</v>
      </c>
      <c r="I45" s="122">
        <v>2171</v>
      </c>
      <c r="J45" s="62">
        <v>0.81</v>
      </c>
      <c r="K45" s="62">
        <v>0.46</v>
      </c>
      <c r="L45" s="62">
        <v>0.77</v>
      </c>
      <c r="M45" s="62">
        <v>0.96</v>
      </c>
      <c r="N45" s="62">
        <v>0.26</v>
      </c>
      <c r="O45" s="62">
        <v>0.41</v>
      </c>
      <c r="P45" s="61">
        <v>0.65</v>
      </c>
      <c r="S45" s="5" t="s">
        <v>157</v>
      </c>
      <c r="T45" s="83">
        <v>0.01</v>
      </c>
      <c r="U45" s="83">
        <v>0.03</v>
      </c>
      <c r="V45" s="83">
        <v>0.05</v>
      </c>
      <c r="W45" s="83">
        <v>0.04</v>
      </c>
      <c r="X45" s="83">
        <v>0.02</v>
      </c>
      <c r="Y45" s="81">
        <v>0.03</v>
      </c>
    </row>
    <row r="46" spans="3:47" ht="27" x14ac:dyDescent="0.3">
      <c r="C46" s="103" t="s">
        <v>39</v>
      </c>
      <c r="D46" s="123">
        <v>703</v>
      </c>
      <c r="E46" s="123">
        <v>541</v>
      </c>
      <c r="F46" s="123">
        <v>503</v>
      </c>
      <c r="G46" s="123">
        <v>742</v>
      </c>
      <c r="H46" s="123">
        <v>1029</v>
      </c>
      <c r="I46" s="122">
        <v>687</v>
      </c>
      <c r="J46" s="73"/>
      <c r="K46" s="5" t="s">
        <v>38</v>
      </c>
      <c r="S46" s="4" t="s">
        <v>112</v>
      </c>
      <c r="T46" s="83">
        <v>1.04</v>
      </c>
      <c r="U46" s="83">
        <v>2.16</v>
      </c>
      <c r="V46" s="83">
        <v>3.55</v>
      </c>
      <c r="W46" s="83">
        <v>4.08</v>
      </c>
      <c r="X46" s="83">
        <v>3.73</v>
      </c>
      <c r="Y46" s="81">
        <v>2.96</v>
      </c>
    </row>
    <row r="47" spans="3:47" ht="40.5" x14ac:dyDescent="0.3">
      <c r="C47" s="105" t="s">
        <v>40</v>
      </c>
      <c r="D47" s="123">
        <v>4414</v>
      </c>
      <c r="E47" s="123">
        <v>3362</v>
      </c>
      <c r="F47" s="123">
        <v>3905</v>
      </c>
      <c r="G47" s="123">
        <v>3500</v>
      </c>
      <c r="H47" s="123">
        <v>3258</v>
      </c>
      <c r="I47" s="122">
        <v>3578</v>
      </c>
      <c r="J47" s="73"/>
      <c r="S47" s="5" t="s">
        <v>156</v>
      </c>
      <c r="T47" s="83">
        <v>1.04</v>
      </c>
      <c r="U47" s="83">
        <v>2.16</v>
      </c>
      <c r="V47" s="83">
        <v>3.55</v>
      </c>
      <c r="W47" s="83">
        <v>4.08</v>
      </c>
      <c r="X47" s="83">
        <v>3.73</v>
      </c>
      <c r="Y47" s="81">
        <v>2.96</v>
      </c>
    </row>
    <row r="48" spans="3:47" ht="27" x14ac:dyDescent="0.3">
      <c r="C48" s="103" t="s">
        <v>167</v>
      </c>
      <c r="D48" s="123">
        <v>35794</v>
      </c>
      <c r="E48" s="123">
        <v>35794</v>
      </c>
      <c r="F48" s="123">
        <v>35794</v>
      </c>
      <c r="G48" s="123">
        <v>35794</v>
      </c>
      <c r="H48" s="123" t="s">
        <v>139</v>
      </c>
      <c r="I48" s="122">
        <v>35794</v>
      </c>
      <c r="J48" s="73"/>
      <c r="S48" s="5" t="s">
        <v>157</v>
      </c>
      <c r="T48" s="83" t="s">
        <v>139</v>
      </c>
      <c r="U48" s="83" t="s">
        <v>139</v>
      </c>
      <c r="V48" s="83" t="s">
        <v>139</v>
      </c>
      <c r="W48" s="83" t="s">
        <v>139</v>
      </c>
      <c r="X48" s="83" t="s">
        <v>139</v>
      </c>
      <c r="Y48" s="81" t="s">
        <v>139</v>
      </c>
    </row>
    <row r="49" spans="3:25" ht="27" x14ac:dyDescent="0.3">
      <c r="C49" s="103" t="s">
        <v>41</v>
      </c>
      <c r="D49" s="123">
        <v>1422</v>
      </c>
      <c r="E49" s="123">
        <v>1200</v>
      </c>
      <c r="F49" s="123">
        <v>1216</v>
      </c>
      <c r="G49" s="123">
        <v>1314</v>
      </c>
      <c r="H49" s="123">
        <v>1206</v>
      </c>
      <c r="I49" s="122">
        <v>1248</v>
      </c>
      <c r="J49" s="73"/>
      <c r="K49" s="5" t="s">
        <v>41</v>
      </c>
      <c r="S49" s="4" t="s">
        <v>113</v>
      </c>
      <c r="T49" s="83">
        <v>0.37</v>
      </c>
      <c r="U49" s="83">
        <v>0.56999999999999995</v>
      </c>
      <c r="V49" s="83">
        <v>0.96</v>
      </c>
      <c r="W49" s="83">
        <v>1.01</v>
      </c>
      <c r="X49" s="83">
        <v>1.06</v>
      </c>
      <c r="Y49" s="81">
        <v>0.81</v>
      </c>
    </row>
    <row r="50" spans="3:25" ht="15.75" x14ac:dyDescent="0.3">
      <c r="C50" s="103" t="s">
        <v>42</v>
      </c>
      <c r="D50" s="123">
        <v>3372</v>
      </c>
      <c r="E50" s="123">
        <v>3149</v>
      </c>
      <c r="F50" s="123">
        <v>3048</v>
      </c>
      <c r="G50" s="123">
        <v>3091</v>
      </c>
      <c r="H50" s="123">
        <v>3417</v>
      </c>
      <c r="I50" s="122">
        <v>3156</v>
      </c>
      <c r="J50" s="73"/>
      <c r="K50" s="5" t="s">
        <v>42</v>
      </c>
      <c r="S50" s="5" t="s">
        <v>156</v>
      </c>
      <c r="T50" s="83">
        <v>0.04</v>
      </c>
      <c r="U50" s="83">
        <v>0.19</v>
      </c>
      <c r="V50" s="83">
        <v>0.5</v>
      </c>
      <c r="W50" s="83">
        <v>0.51</v>
      </c>
      <c r="X50" s="83">
        <v>0.66</v>
      </c>
      <c r="Y50" s="81">
        <v>0.38</v>
      </c>
    </row>
    <row r="51" spans="3:25" ht="27" x14ac:dyDescent="0.3">
      <c r="C51" s="105" t="s">
        <v>43</v>
      </c>
      <c r="D51" s="123">
        <v>3335</v>
      </c>
      <c r="E51" s="123">
        <v>3267</v>
      </c>
      <c r="F51" s="123">
        <v>3066</v>
      </c>
      <c r="G51" s="123">
        <v>3107</v>
      </c>
      <c r="H51" s="123">
        <v>3408</v>
      </c>
      <c r="I51" s="122">
        <v>3175</v>
      </c>
      <c r="J51" s="73"/>
      <c r="K51" s="4" t="s">
        <v>43</v>
      </c>
      <c r="S51" s="5" t="s">
        <v>157</v>
      </c>
      <c r="T51" s="83">
        <v>0.33</v>
      </c>
      <c r="U51" s="83">
        <v>0.38</v>
      </c>
      <c r="V51" s="83">
        <v>0.46</v>
      </c>
      <c r="W51" s="83">
        <v>0.51</v>
      </c>
      <c r="X51" s="83">
        <v>0.4</v>
      </c>
      <c r="Y51" s="81">
        <v>0.42</v>
      </c>
    </row>
    <row r="52" spans="3:25" ht="15.75" x14ac:dyDescent="0.3">
      <c r="C52" s="103" t="s">
        <v>44</v>
      </c>
      <c r="D52" s="123">
        <v>2550</v>
      </c>
      <c r="E52" s="123">
        <v>2285</v>
      </c>
      <c r="F52" s="123">
        <v>2176</v>
      </c>
      <c r="G52" s="123">
        <v>2032</v>
      </c>
      <c r="H52" s="123">
        <v>2242</v>
      </c>
      <c r="I52" s="122">
        <v>2179</v>
      </c>
      <c r="K52" s="56" t="s">
        <v>44</v>
      </c>
      <c r="S52" s="4" t="s">
        <v>129</v>
      </c>
      <c r="T52" s="83" t="s">
        <v>139</v>
      </c>
      <c r="U52" s="83">
        <v>0</v>
      </c>
      <c r="V52" s="83">
        <v>0.05</v>
      </c>
      <c r="W52" s="83">
        <v>0.06</v>
      </c>
      <c r="X52" s="83" t="s">
        <v>139</v>
      </c>
      <c r="Y52" s="81">
        <v>0.03</v>
      </c>
    </row>
    <row r="53" spans="3:25" ht="15.75" x14ac:dyDescent="0.3">
      <c r="C53" s="103" t="s">
        <v>152</v>
      </c>
      <c r="D53" s="123">
        <v>2152</v>
      </c>
      <c r="E53" s="123">
        <v>2152</v>
      </c>
      <c r="F53" s="123">
        <v>2478</v>
      </c>
      <c r="G53" s="123">
        <v>2401</v>
      </c>
      <c r="H53" s="123">
        <v>2152</v>
      </c>
      <c r="I53" s="122">
        <v>2393</v>
      </c>
      <c r="K53" s="56" t="s">
        <v>45</v>
      </c>
      <c r="S53" s="5" t="s">
        <v>156</v>
      </c>
      <c r="T53" s="83" t="s">
        <v>139</v>
      </c>
      <c r="U53" s="83">
        <v>0</v>
      </c>
      <c r="V53" s="83">
        <v>0.05</v>
      </c>
      <c r="W53" s="83">
        <v>0.06</v>
      </c>
      <c r="X53" s="83" t="s">
        <v>139</v>
      </c>
      <c r="Y53" s="81">
        <v>0.03</v>
      </c>
    </row>
    <row r="54" spans="3:25" ht="27" x14ac:dyDescent="0.3">
      <c r="C54" s="103" t="s">
        <v>45</v>
      </c>
      <c r="D54" s="123">
        <v>4347</v>
      </c>
      <c r="E54" s="123">
        <v>4334</v>
      </c>
      <c r="F54" s="123">
        <v>3791</v>
      </c>
      <c r="G54" s="123">
        <v>3864</v>
      </c>
      <c r="H54" s="123">
        <v>4204</v>
      </c>
      <c r="I54" s="122">
        <v>3999</v>
      </c>
      <c r="K54" s="56" t="s">
        <v>152</v>
      </c>
      <c r="S54" s="5" t="s">
        <v>157</v>
      </c>
      <c r="T54" s="83" t="s">
        <v>139</v>
      </c>
      <c r="U54" s="83" t="s">
        <v>139</v>
      </c>
      <c r="V54" s="83" t="s">
        <v>139</v>
      </c>
      <c r="W54" s="83" t="s">
        <v>139</v>
      </c>
      <c r="X54" s="83" t="s">
        <v>139</v>
      </c>
      <c r="Y54" s="81" t="s">
        <v>139</v>
      </c>
    </row>
    <row r="55" spans="3:25" ht="15.75" x14ac:dyDescent="0.3">
      <c r="C55" s="103" t="s">
        <v>46</v>
      </c>
      <c r="D55" s="123">
        <v>77</v>
      </c>
      <c r="E55" s="123">
        <v>188</v>
      </c>
      <c r="F55" s="123">
        <v>296</v>
      </c>
      <c r="G55" s="123">
        <v>236</v>
      </c>
      <c r="H55" s="123">
        <v>282</v>
      </c>
      <c r="I55" s="122">
        <v>238</v>
      </c>
      <c r="K55" s="5" t="s">
        <v>46</v>
      </c>
      <c r="S55" s="4" t="s">
        <v>158</v>
      </c>
      <c r="T55" s="83" t="s">
        <v>139</v>
      </c>
      <c r="U55" s="83" t="s">
        <v>139</v>
      </c>
      <c r="V55" s="83" t="s">
        <v>139</v>
      </c>
      <c r="W55" s="83" t="s">
        <v>139</v>
      </c>
      <c r="X55" s="83" t="s">
        <v>139</v>
      </c>
      <c r="Y55" s="81" t="s">
        <v>139</v>
      </c>
    </row>
    <row r="56" spans="3:25" ht="15.75" x14ac:dyDescent="0.3">
      <c r="C56" s="103" t="s">
        <v>47</v>
      </c>
      <c r="D56" s="123">
        <v>1576</v>
      </c>
      <c r="E56" s="123">
        <v>1421</v>
      </c>
      <c r="F56" s="123">
        <v>1352</v>
      </c>
      <c r="G56" s="123">
        <v>1456</v>
      </c>
      <c r="H56" s="123">
        <v>1526</v>
      </c>
      <c r="I56" s="122">
        <v>1410</v>
      </c>
      <c r="K56" s="5" t="s">
        <v>47</v>
      </c>
      <c r="S56" s="5" t="s">
        <v>156</v>
      </c>
      <c r="T56" s="83" t="s">
        <v>139</v>
      </c>
      <c r="U56" s="83" t="s">
        <v>139</v>
      </c>
      <c r="V56" s="83" t="s">
        <v>139</v>
      </c>
      <c r="W56" s="83" t="s">
        <v>139</v>
      </c>
      <c r="X56" s="83" t="s">
        <v>139</v>
      </c>
      <c r="Y56" s="81" t="s">
        <v>139</v>
      </c>
    </row>
    <row r="57" spans="3:25" ht="54" x14ac:dyDescent="0.3">
      <c r="C57" s="105" t="s">
        <v>48</v>
      </c>
      <c r="D57" s="123">
        <v>930</v>
      </c>
      <c r="E57" s="123">
        <v>1523</v>
      </c>
      <c r="F57" s="123">
        <v>1856</v>
      </c>
      <c r="G57" s="123">
        <v>1332</v>
      </c>
      <c r="H57" s="123">
        <v>1445</v>
      </c>
      <c r="I57" s="122">
        <v>1527</v>
      </c>
      <c r="K57" s="4" t="s">
        <v>48</v>
      </c>
      <c r="S57" s="5" t="s">
        <v>157</v>
      </c>
      <c r="T57" s="83" t="s">
        <v>139</v>
      </c>
      <c r="U57" s="83" t="s">
        <v>139</v>
      </c>
      <c r="V57" s="83" t="s">
        <v>139</v>
      </c>
      <c r="W57" s="83" t="s">
        <v>139</v>
      </c>
      <c r="X57" s="83" t="s">
        <v>139</v>
      </c>
      <c r="Y57" s="81" t="s">
        <v>139</v>
      </c>
    </row>
    <row r="58" spans="3:25" ht="15.75" x14ac:dyDescent="0.3">
      <c r="C58" s="103" t="s">
        <v>49</v>
      </c>
      <c r="D58" s="123">
        <v>7085</v>
      </c>
      <c r="E58" s="123">
        <v>4177</v>
      </c>
      <c r="F58" s="123">
        <v>4562</v>
      </c>
      <c r="G58" s="123">
        <v>3545</v>
      </c>
      <c r="H58" s="123">
        <v>3177</v>
      </c>
      <c r="I58" s="122">
        <v>4156</v>
      </c>
      <c r="K58" s="5" t="s">
        <v>49</v>
      </c>
      <c r="S58" s="4" t="s">
        <v>123</v>
      </c>
      <c r="T58" s="83">
        <v>0.02</v>
      </c>
      <c r="U58" s="83">
        <v>0.06</v>
      </c>
      <c r="V58" s="83">
        <v>7.0000000000000007E-2</v>
      </c>
      <c r="W58" s="83">
        <v>0.06</v>
      </c>
      <c r="X58" s="83">
        <v>0.06</v>
      </c>
      <c r="Y58" s="81">
        <v>0.06</v>
      </c>
    </row>
    <row r="59" spans="3:25" ht="15.75" x14ac:dyDescent="0.3">
      <c r="C59" s="103" t="s">
        <v>50</v>
      </c>
      <c r="D59" s="123">
        <v>1311</v>
      </c>
      <c r="E59" s="123">
        <v>1833</v>
      </c>
      <c r="F59" s="123">
        <v>1612</v>
      </c>
      <c r="G59" s="123">
        <v>2284</v>
      </c>
      <c r="H59" s="123">
        <v>2179</v>
      </c>
      <c r="I59" s="122">
        <v>1801</v>
      </c>
      <c r="K59" s="5" t="s">
        <v>50</v>
      </c>
      <c r="S59" s="5" t="s">
        <v>156</v>
      </c>
      <c r="T59" s="83">
        <v>0.02</v>
      </c>
      <c r="U59" s="83">
        <v>0.06</v>
      </c>
      <c r="V59" s="83">
        <v>7.0000000000000007E-2</v>
      </c>
      <c r="W59" s="83">
        <v>0.06</v>
      </c>
      <c r="X59" s="83">
        <v>0.06</v>
      </c>
      <c r="Y59" s="81">
        <v>0.06</v>
      </c>
    </row>
    <row r="60" spans="3:25" ht="27" x14ac:dyDescent="0.3">
      <c r="C60" s="105" t="s">
        <v>52</v>
      </c>
      <c r="D60" s="123">
        <v>1367</v>
      </c>
      <c r="E60" s="123">
        <v>1934</v>
      </c>
      <c r="F60" s="123">
        <v>1695</v>
      </c>
      <c r="G60" s="123">
        <v>2347</v>
      </c>
      <c r="H60" s="123">
        <v>2201</v>
      </c>
      <c r="I60" s="122">
        <v>1874</v>
      </c>
      <c r="K60" s="5" t="s">
        <v>51</v>
      </c>
      <c r="S60" s="5" t="s">
        <v>157</v>
      </c>
      <c r="T60" s="83" t="s">
        <v>139</v>
      </c>
      <c r="U60" s="83" t="s">
        <v>139</v>
      </c>
      <c r="V60" s="83" t="s">
        <v>139</v>
      </c>
      <c r="W60" s="83" t="s">
        <v>139</v>
      </c>
      <c r="X60" s="83" t="s">
        <v>139</v>
      </c>
      <c r="Y60" s="81" t="s">
        <v>139</v>
      </c>
    </row>
    <row r="61" spans="3:25" ht="27.75" thickBot="1" x14ac:dyDescent="0.35">
      <c r="C61" s="106" t="s">
        <v>141</v>
      </c>
      <c r="D61" s="107">
        <v>1636</v>
      </c>
      <c r="E61" s="107">
        <v>2580</v>
      </c>
      <c r="F61" s="107">
        <v>3015</v>
      </c>
      <c r="G61" s="107">
        <v>2672</v>
      </c>
      <c r="H61" s="107">
        <v>2593</v>
      </c>
      <c r="I61" s="108">
        <v>2733</v>
      </c>
      <c r="S61" s="4" t="s">
        <v>159</v>
      </c>
      <c r="T61" s="83" t="s">
        <v>139</v>
      </c>
      <c r="U61" s="83" t="s">
        <v>139</v>
      </c>
      <c r="V61" s="83" t="s">
        <v>139</v>
      </c>
      <c r="W61" s="83" t="s">
        <v>139</v>
      </c>
      <c r="X61" s="83" t="s">
        <v>139</v>
      </c>
      <c r="Y61" s="81" t="s">
        <v>139</v>
      </c>
    </row>
    <row r="62" spans="3:25" ht="27.75" thickBot="1" x14ac:dyDescent="0.35">
      <c r="C62" s="106" t="s">
        <v>141</v>
      </c>
      <c r="D62" s="107">
        <v>2549</v>
      </c>
      <c r="E62" s="107">
        <v>2708</v>
      </c>
      <c r="F62" s="107">
        <v>3075</v>
      </c>
      <c r="G62" s="107">
        <v>2690</v>
      </c>
      <c r="H62" s="107">
        <v>2436</v>
      </c>
      <c r="I62" s="108">
        <v>2754</v>
      </c>
      <c r="S62" s="5" t="s">
        <v>156</v>
      </c>
      <c r="T62" s="83" t="s">
        <v>139</v>
      </c>
      <c r="U62" s="83" t="s">
        <v>139</v>
      </c>
      <c r="V62" s="83" t="s">
        <v>139</v>
      </c>
      <c r="W62" s="83" t="s">
        <v>139</v>
      </c>
      <c r="X62" s="83" t="s">
        <v>139</v>
      </c>
      <c r="Y62" s="81" t="s">
        <v>139</v>
      </c>
    </row>
    <row r="63" spans="3:25" ht="27.75" thickBot="1" x14ac:dyDescent="0.35">
      <c r="S63" s="5" t="s">
        <v>157</v>
      </c>
      <c r="T63" s="83" t="s">
        <v>139</v>
      </c>
      <c r="U63" s="83" t="s">
        <v>139</v>
      </c>
      <c r="V63" s="83" t="s">
        <v>139</v>
      </c>
      <c r="W63" s="83" t="s">
        <v>139</v>
      </c>
      <c r="X63" s="83" t="s">
        <v>139</v>
      </c>
      <c r="Y63" s="81" t="s">
        <v>139</v>
      </c>
    </row>
    <row r="64" spans="3:25" ht="27" x14ac:dyDescent="0.3">
      <c r="C64" s="109" t="s">
        <v>63</v>
      </c>
      <c r="D64" s="101">
        <v>1927</v>
      </c>
      <c r="E64" s="101">
        <v>1819</v>
      </c>
      <c r="F64" s="101">
        <v>1840</v>
      </c>
      <c r="G64" s="101">
        <v>1788</v>
      </c>
      <c r="H64" s="101">
        <v>1824</v>
      </c>
      <c r="I64" s="102">
        <v>1822</v>
      </c>
      <c r="S64" s="4" t="s">
        <v>160</v>
      </c>
      <c r="T64" s="83" t="s">
        <v>139</v>
      </c>
      <c r="U64" s="83" t="s">
        <v>139</v>
      </c>
      <c r="V64" s="83" t="s">
        <v>139</v>
      </c>
      <c r="W64" s="83" t="s">
        <v>139</v>
      </c>
      <c r="X64" s="83" t="s">
        <v>139</v>
      </c>
      <c r="Y64" s="81" t="s">
        <v>139</v>
      </c>
    </row>
    <row r="65" spans="3:25" ht="15.75" x14ac:dyDescent="0.3">
      <c r="C65" s="103" t="s">
        <v>30</v>
      </c>
      <c r="D65" s="98">
        <v>3142</v>
      </c>
      <c r="E65" s="98">
        <v>2619</v>
      </c>
      <c r="F65" s="98">
        <v>3504</v>
      </c>
      <c r="G65" s="98">
        <v>2750</v>
      </c>
      <c r="H65" s="98">
        <v>2499</v>
      </c>
      <c r="I65" s="104">
        <v>2942</v>
      </c>
      <c r="S65" s="5" t="s">
        <v>156</v>
      </c>
      <c r="T65" s="83" t="s">
        <v>139</v>
      </c>
      <c r="U65" s="83" t="s">
        <v>139</v>
      </c>
      <c r="V65" s="83" t="s">
        <v>139</v>
      </c>
      <c r="W65" s="83" t="s">
        <v>139</v>
      </c>
      <c r="X65" s="83" t="s">
        <v>139</v>
      </c>
      <c r="Y65" s="81" t="s">
        <v>139</v>
      </c>
    </row>
    <row r="66" spans="3:25" ht="27" x14ac:dyDescent="0.3">
      <c r="C66" s="103" t="s">
        <v>31</v>
      </c>
      <c r="D66" s="98">
        <v>1126</v>
      </c>
      <c r="E66" s="98">
        <v>1021</v>
      </c>
      <c r="F66" s="98">
        <v>1287</v>
      </c>
      <c r="G66" s="98">
        <v>712</v>
      </c>
      <c r="H66" s="98">
        <v>760</v>
      </c>
      <c r="I66" s="104">
        <v>1084</v>
      </c>
      <c r="S66" s="5" t="s">
        <v>157</v>
      </c>
      <c r="T66" s="83" t="s">
        <v>139</v>
      </c>
      <c r="U66" s="83" t="s">
        <v>139</v>
      </c>
      <c r="V66" s="83" t="s">
        <v>139</v>
      </c>
      <c r="W66" s="83" t="s">
        <v>139</v>
      </c>
      <c r="X66" s="83" t="s">
        <v>139</v>
      </c>
      <c r="Y66" s="81" t="s">
        <v>139</v>
      </c>
    </row>
    <row r="67" spans="3:25" ht="15.75" x14ac:dyDescent="0.3">
      <c r="C67" s="103" t="s">
        <v>119</v>
      </c>
      <c r="D67" s="98">
        <v>31</v>
      </c>
      <c r="E67" s="98">
        <v>28</v>
      </c>
      <c r="F67" s="98">
        <v>17</v>
      </c>
      <c r="G67" s="98">
        <v>28</v>
      </c>
      <c r="H67" s="98">
        <v>30</v>
      </c>
      <c r="I67" s="104">
        <v>28</v>
      </c>
      <c r="S67" s="4" t="s">
        <v>137</v>
      </c>
      <c r="T67" s="83">
        <v>8.48</v>
      </c>
      <c r="U67" s="83">
        <v>24.44</v>
      </c>
      <c r="V67" s="83">
        <v>42.75</v>
      </c>
      <c r="W67" s="83">
        <v>60.92</v>
      </c>
      <c r="X67" s="83">
        <v>78.650000000000006</v>
      </c>
      <c r="Y67" s="81">
        <v>40.479999999999997</v>
      </c>
    </row>
    <row r="68" spans="3:25" ht="15.75" x14ac:dyDescent="0.3">
      <c r="C68" s="103" t="s">
        <v>32</v>
      </c>
      <c r="D68" s="98">
        <v>1040</v>
      </c>
      <c r="E68" s="98">
        <v>1027</v>
      </c>
      <c r="F68" s="98">
        <v>612</v>
      </c>
      <c r="G68" s="98">
        <v>895</v>
      </c>
      <c r="H68" s="98">
        <v>936</v>
      </c>
      <c r="I68" s="104">
        <v>817</v>
      </c>
      <c r="S68" s="5" t="s">
        <v>156</v>
      </c>
      <c r="T68" s="83">
        <v>8.0399999999999991</v>
      </c>
      <c r="U68" s="83">
        <v>23.94</v>
      </c>
      <c r="V68" s="83">
        <v>42.15</v>
      </c>
      <c r="W68" s="83">
        <v>60.28</v>
      </c>
      <c r="X68" s="83">
        <v>78.150000000000006</v>
      </c>
      <c r="Y68" s="81">
        <v>39.93</v>
      </c>
    </row>
    <row r="69" spans="3:25" ht="41.25" thickBot="1" x14ac:dyDescent="0.35">
      <c r="C69" s="103" t="s">
        <v>33</v>
      </c>
      <c r="D69" s="98">
        <v>2576</v>
      </c>
      <c r="E69" s="98">
        <v>2449</v>
      </c>
      <c r="F69" s="98">
        <v>3193</v>
      </c>
      <c r="G69" s="98">
        <v>2503</v>
      </c>
      <c r="H69" s="98">
        <v>2262</v>
      </c>
      <c r="I69" s="104">
        <v>2667</v>
      </c>
      <c r="S69" s="17" t="s">
        <v>157</v>
      </c>
      <c r="T69" s="62">
        <v>0.44</v>
      </c>
      <c r="U69" s="62">
        <v>0.5</v>
      </c>
      <c r="V69" s="62">
        <v>0.6</v>
      </c>
      <c r="W69" s="62">
        <v>0.64</v>
      </c>
      <c r="X69" s="62">
        <v>0.5</v>
      </c>
      <c r="Y69" s="61">
        <v>0.55000000000000004</v>
      </c>
    </row>
    <row r="70" spans="3:25" x14ac:dyDescent="0.25">
      <c r="C70" s="103" t="s">
        <v>126</v>
      </c>
      <c r="D70" s="98" t="s">
        <v>139</v>
      </c>
      <c r="E70" s="98">
        <v>3038</v>
      </c>
      <c r="F70" s="98">
        <v>2799</v>
      </c>
      <c r="G70" s="98">
        <v>2816</v>
      </c>
      <c r="H70" s="98">
        <v>2841</v>
      </c>
      <c r="I70" s="104">
        <v>2817</v>
      </c>
    </row>
    <row r="71" spans="3:25" x14ac:dyDescent="0.25">
      <c r="C71" s="103" t="s">
        <v>34</v>
      </c>
      <c r="D71" s="98">
        <v>2972</v>
      </c>
      <c r="E71" s="98">
        <v>3208</v>
      </c>
      <c r="F71" s="98">
        <v>3464</v>
      </c>
      <c r="G71" s="98">
        <v>3280</v>
      </c>
      <c r="H71" s="98">
        <v>3069</v>
      </c>
      <c r="I71" s="104">
        <v>3275</v>
      </c>
    </row>
    <row r="72" spans="3:25" x14ac:dyDescent="0.25">
      <c r="C72" s="103" t="s">
        <v>35</v>
      </c>
      <c r="D72" s="98">
        <v>4054</v>
      </c>
      <c r="E72" s="98">
        <v>3727</v>
      </c>
      <c r="F72" s="98">
        <v>4416</v>
      </c>
      <c r="G72" s="98">
        <v>3917</v>
      </c>
      <c r="H72" s="98">
        <v>3710</v>
      </c>
      <c r="I72" s="104">
        <v>4033</v>
      </c>
    </row>
    <row r="73" spans="3:25" ht="40.5" x14ac:dyDescent="0.25">
      <c r="C73" s="103" t="s">
        <v>36</v>
      </c>
      <c r="D73" s="98">
        <v>3758</v>
      </c>
      <c r="E73" s="98">
        <v>3598</v>
      </c>
      <c r="F73" s="98">
        <v>4184</v>
      </c>
      <c r="G73" s="98">
        <v>3756</v>
      </c>
      <c r="H73" s="98">
        <v>3548</v>
      </c>
      <c r="I73" s="104">
        <v>3844</v>
      </c>
    </row>
    <row r="74" spans="3:25" x14ac:dyDescent="0.25">
      <c r="C74" s="103" t="s">
        <v>37</v>
      </c>
      <c r="D74" s="98">
        <v>665</v>
      </c>
      <c r="E74" s="98">
        <v>534</v>
      </c>
      <c r="F74" s="98">
        <v>428</v>
      </c>
      <c r="G74" s="98">
        <v>560</v>
      </c>
      <c r="H74" s="98">
        <v>860</v>
      </c>
      <c r="I74" s="104">
        <v>549</v>
      </c>
    </row>
    <row r="75" spans="3:25" x14ac:dyDescent="0.25">
      <c r="C75" s="103" t="s">
        <v>38</v>
      </c>
      <c r="D75" s="98">
        <v>1850</v>
      </c>
      <c r="E75" s="98">
        <v>1891</v>
      </c>
      <c r="F75" s="98">
        <v>2245</v>
      </c>
      <c r="G75" s="98">
        <v>2161</v>
      </c>
      <c r="H75" s="98">
        <v>2455</v>
      </c>
      <c r="I75" s="104">
        <v>2229</v>
      </c>
    </row>
    <row r="76" spans="3:25" ht="27" x14ac:dyDescent="0.25">
      <c r="C76" s="103" t="s">
        <v>39</v>
      </c>
      <c r="D76" s="98">
        <v>705</v>
      </c>
      <c r="E76" s="98">
        <v>569</v>
      </c>
      <c r="F76" s="98">
        <v>462</v>
      </c>
      <c r="G76" s="98">
        <v>705</v>
      </c>
      <c r="H76" s="98">
        <v>1014</v>
      </c>
      <c r="I76" s="104">
        <v>639</v>
      </c>
    </row>
    <row r="77" spans="3:25" ht="40.5" x14ac:dyDescent="0.25">
      <c r="C77" s="105" t="s">
        <v>40</v>
      </c>
      <c r="D77" s="98">
        <v>3175</v>
      </c>
      <c r="E77" s="98">
        <v>3207</v>
      </c>
      <c r="F77" s="98">
        <v>3850</v>
      </c>
      <c r="G77" s="98">
        <v>3341</v>
      </c>
      <c r="H77" s="98">
        <v>3133</v>
      </c>
      <c r="I77" s="104">
        <v>3454</v>
      </c>
    </row>
    <row r="78" spans="3:25" x14ac:dyDescent="0.25">
      <c r="C78" s="103" t="s">
        <v>167</v>
      </c>
      <c r="D78" s="98">
        <v>36010</v>
      </c>
      <c r="E78" s="98">
        <v>36010</v>
      </c>
      <c r="F78" s="98">
        <v>36010</v>
      </c>
      <c r="G78" s="98">
        <v>36010</v>
      </c>
      <c r="H78" s="98" t="s">
        <v>139</v>
      </c>
      <c r="I78" s="104">
        <v>36010</v>
      </c>
    </row>
    <row r="79" spans="3:25" x14ac:dyDescent="0.25">
      <c r="C79" s="103" t="s">
        <v>41</v>
      </c>
      <c r="D79" s="98">
        <v>1477</v>
      </c>
      <c r="E79" s="98">
        <v>1215</v>
      </c>
      <c r="F79" s="98">
        <v>1254</v>
      </c>
      <c r="G79" s="98">
        <v>1354</v>
      </c>
      <c r="H79" s="98">
        <v>1345</v>
      </c>
      <c r="I79" s="104">
        <v>1300</v>
      </c>
    </row>
    <row r="80" spans="3:25" x14ac:dyDescent="0.25">
      <c r="C80" s="103" t="s">
        <v>42</v>
      </c>
      <c r="D80" s="98">
        <v>3550</v>
      </c>
      <c r="E80" s="98">
        <v>3209</v>
      </c>
      <c r="F80" s="98">
        <v>3157</v>
      </c>
      <c r="G80" s="98">
        <v>3142</v>
      </c>
      <c r="H80" s="98">
        <v>3528</v>
      </c>
      <c r="I80" s="104">
        <v>3252</v>
      </c>
    </row>
    <row r="81" spans="3:16" ht="27" x14ac:dyDescent="0.25">
      <c r="C81" s="105" t="s">
        <v>43</v>
      </c>
      <c r="D81" s="98">
        <v>3595</v>
      </c>
      <c r="E81" s="98">
        <v>3312</v>
      </c>
      <c r="F81" s="98">
        <v>3217</v>
      </c>
      <c r="G81" s="98">
        <v>3181</v>
      </c>
      <c r="H81" s="98">
        <v>3519</v>
      </c>
      <c r="I81" s="104">
        <v>3297</v>
      </c>
    </row>
    <row r="82" spans="3:16" x14ac:dyDescent="0.25">
      <c r="C82" s="103" t="s">
        <v>44</v>
      </c>
      <c r="D82" s="98">
        <v>2922</v>
      </c>
      <c r="E82" s="98">
        <v>2423</v>
      </c>
      <c r="F82" s="98">
        <v>2176</v>
      </c>
      <c r="G82" s="98">
        <v>1936</v>
      </c>
      <c r="H82" s="98">
        <v>2238</v>
      </c>
      <c r="I82" s="104">
        <v>2183</v>
      </c>
    </row>
    <row r="83" spans="3:16" x14ac:dyDescent="0.25">
      <c r="C83" s="103" t="s">
        <v>152</v>
      </c>
      <c r="D83" s="98">
        <v>2275</v>
      </c>
      <c r="E83" s="98">
        <v>2275</v>
      </c>
      <c r="F83" s="98">
        <v>2597</v>
      </c>
      <c r="G83" s="98">
        <v>2503</v>
      </c>
      <c r="H83" s="98">
        <v>2275</v>
      </c>
      <c r="I83" s="104">
        <v>2510</v>
      </c>
    </row>
    <row r="84" spans="3:16" x14ac:dyDescent="0.25">
      <c r="C84" s="103" t="s">
        <v>45</v>
      </c>
      <c r="D84" s="98">
        <v>4703</v>
      </c>
      <c r="E84" s="98">
        <v>4636</v>
      </c>
      <c r="F84" s="98">
        <v>4083</v>
      </c>
      <c r="G84" s="98">
        <v>4175</v>
      </c>
      <c r="H84" s="98">
        <v>4376</v>
      </c>
      <c r="I84" s="104">
        <v>4277</v>
      </c>
    </row>
    <row r="85" spans="3:16" x14ac:dyDescent="0.25">
      <c r="C85" s="103" t="s">
        <v>46</v>
      </c>
      <c r="D85" s="98">
        <v>162</v>
      </c>
      <c r="E85" s="98">
        <v>161</v>
      </c>
      <c r="F85" s="98">
        <v>196</v>
      </c>
      <c r="G85" s="98">
        <v>193</v>
      </c>
      <c r="H85" s="98">
        <v>296</v>
      </c>
      <c r="I85" s="104">
        <v>218</v>
      </c>
    </row>
    <row r="86" spans="3:16" x14ac:dyDescent="0.25">
      <c r="C86" s="103" t="s">
        <v>47</v>
      </c>
      <c r="D86" s="98">
        <v>1612</v>
      </c>
      <c r="E86" s="98">
        <v>1489</v>
      </c>
      <c r="F86" s="98">
        <v>1424</v>
      </c>
      <c r="G86" s="98">
        <v>1523</v>
      </c>
      <c r="H86" s="98">
        <v>1587</v>
      </c>
      <c r="I86" s="104">
        <v>1478</v>
      </c>
    </row>
    <row r="87" spans="3:16" ht="54" x14ac:dyDescent="0.25">
      <c r="C87" s="105" t="s">
        <v>48</v>
      </c>
      <c r="D87" s="98">
        <v>1984</v>
      </c>
      <c r="E87" s="98">
        <v>1733</v>
      </c>
      <c r="F87" s="98">
        <v>1882</v>
      </c>
      <c r="G87" s="98">
        <v>1386</v>
      </c>
      <c r="H87" s="98">
        <v>1559</v>
      </c>
      <c r="I87" s="104">
        <v>1675</v>
      </c>
    </row>
    <row r="88" spans="3:16" x14ac:dyDescent="0.25">
      <c r="C88" s="103" t="s">
        <v>49</v>
      </c>
      <c r="D88" s="98">
        <v>5131</v>
      </c>
      <c r="E88" s="98">
        <v>3060</v>
      </c>
      <c r="F88" s="98">
        <v>3310</v>
      </c>
      <c r="G88" s="98">
        <v>2655</v>
      </c>
      <c r="H88" s="98">
        <v>2548</v>
      </c>
      <c r="I88" s="104">
        <v>3049</v>
      </c>
    </row>
    <row r="89" spans="3:16" x14ac:dyDescent="0.25">
      <c r="C89" s="103" t="s">
        <v>50</v>
      </c>
      <c r="D89" s="98">
        <v>3937</v>
      </c>
      <c r="E89" s="98">
        <v>3601</v>
      </c>
      <c r="F89" s="98">
        <v>3744</v>
      </c>
      <c r="G89" s="98">
        <v>3126</v>
      </c>
      <c r="H89" s="98">
        <v>1830</v>
      </c>
      <c r="I89" s="104">
        <v>3151</v>
      </c>
    </row>
    <row r="90" spans="3:16" ht="27" x14ac:dyDescent="0.25">
      <c r="C90" s="105" t="s">
        <v>52</v>
      </c>
      <c r="D90" s="98">
        <v>3964</v>
      </c>
      <c r="E90" s="98">
        <v>3561</v>
      </c>
      <c r="F90" s="98">
        <v>3710</v>
      </c>
      <c r="G90" s="98">
        <v>3090</v>
      </c>
      <c r="H90" s="98">
        <v>1851</v>
      </c>
      <c r="I90" s="104">
        <v>3145</v>
      </c>
    </row>
    <row r="91" spans="3:16" ht="27.75" thickBot="1" x14ac:dyDescent="0.3">
      <c r="C91" s="106" t="s">
        <v>141</v>
      </c>
      <c r="D91" s="107">
        <v>2661</v>
      </c>
      <c r="E91" s="107">
        <v>2672</v>
      </c>
      <c r="F91" s="107">
        <v>3078</v>
      </c>
      <c r="G91" s="107">
        <v>2640</v>
      </c>
      <c r="H91" s="107">
        <v>2647</v>
      </c>
      <c r="I91" s="108">
        <v>2810</v>
      </c>
    </row>
    <row r="92" spans="3:16" ht="15.75" thickBot="1" x14ac:dyDescent="0.3"/>
    <row r="93" spans="3:16" x14ac:dyDescent="0.25">
      <c r="C93" s="109" t="s">
        <v>172</v>
      </c>
      <c r="D93" s="111" t="s">
        <v>56</v>
      </c>
      <c r="E93" s="101">
        <v>0</v>
      </c>
      <c r="F93" s="101">
        <v>1.37</v>
      </c>
      <c r="G93" s="101">
        <v>0.02</v>
      </c>
      <c r="H93" s="101">
        <v>1.37</v>
      </c>
      <c r="I93" s="101">
        <v>0.02</v>
      </c>
      <c r="J93" s="101">
        <v>1.38</v>
      </c>
      <c r="K93" s="101">
        <v>0.01</v>
      </c>
      <c r="L93" s="101">
        <v>1.37</v>
      </c>
      <c r="M93" s="101" t="s">
        <v>139</v>
      </c>
      <c r="N93" s="101" t="s">
        <v>139</v>
      </c>
      <c r="O93" s="101">
        <v>0.01</v>
      </c>
      <c r="P93" s="102">
        <v>1.37</v>
      </c>
    </row>
    <row r="94" spans="3:16" x14ac:dyDescent="0.25">
      <c r="C94" s="103" t="s">
        <v>29</v>
      </c>
      <c r="D94" s="110" t="s">
        <v>56</v>
      </c>
      <c r="E94" s="98">
        <v>0.08</v>
      </c>
      <c r="F94" s="98">
        <v>4.28</v>
      </c>
      <c r="G94" s="98">
        <v>0.61</v>
      </c>
      <c r="H94" s="98">
        <v>4.26</v>
      </c>
      <c r="I94" s="98">
        <v>0.87</v>
      </c>
      <c r="J94" s="98">
        <v>4.2699999999999996</v>
      </c>
      <c r="K94" s="98">
        <v>1.45</v>
      </c>
      <c r="L94" s="98">
        <v>4.2</v>
      </c>
      <c r="M94" s="98">
        <v>2.9</v>
      </c>
      <c r="N94" s="98">
        <v>4.2300000000000004</v>
      </c>
      <c r="O94" s="98">
        <v>1.03</v>
      </c>
      <c r="P94" s="104">
        <v>4.24</v>
      </c>
    </row>
    <row r="95" spans="3:16" x14ac:dyDescent="0.25">
      <c r="C95" s="103" t="s">
        <v>41</v>
      </c>
      <c r="D95" s="110" t="s">
        <v>56</v>
      </c>
      <c r="E95" s="98">
        <v>0</v>
      </c>
      <c r="F95" s="98">
        <v>6.15</v>
      </c>
      <c r="G95" s="98">
        <v>0</v>
      </c>
      <c r="H95" s="98">
        <v>6.15</v>
      </c>
      <c r="I95" s="98">
        <v>0</v>
      </c>
      <c r="J95" s="98">
        <v>6.15</v>
      </c>
      <c r="K95" s="98">
        <v>0</v>
      </c>
      <c r="L95" s="98">
        <v>6.15</v>
      </c>
      <c r="M95" s="98">
        <v>0.02</v>
      </c>
      <c r="N95" s="98">
        <v>6.77</v>
      </c>
      <c r="O95" s="98">
        <v>0</v>
      </c>
      <c r="P95" s="104">
        <v>6.55</v>
      </c>
    </row>
    <row r="96" spans="3:16" x14ac:dyDescent="0.25">
      <c r="C96" s="103" t="s">
        <v>41</v>
      </c>
      <c r="D96" s="110" t="s">
        <v>58</v>
      </c>
      <c r="E96" s="98">
        <v>0.02</v>
      </c>
      <c r="F96" s="98">
        <v>3.09</v>
      </c>
      <c r="G96" s="98">
        <v>0.03</v>
      </c>
      <c r="H96" s="98">
        <v>3.88</v>
      </c>
      <c r="I96" s="98">
        <v>0.05</v>
      </c>
      <c r="J96" s="98">
        <v>3.48</v>
      </c>
      <c r="K96" s="98">
        <v>0.04</v>
      </c>
      <c r="L96" s="98">
        <v>3.48</v>
      </c>
      <c r="M96" s="98">
        <v>0.03</v>
      </c>
      <c r="N96" s="98">
        <v>3.27</v>
      </c>
      <c r="O96" s="98">
        <v>0.04</v>
      </c>
      <c r="P96" s="104">
        <v>3.48</v>
      </c>
    </row>
    <row r="97" spans="3:16" x14ac:dyDescent="0.25">
      <c r="C97" s="103" t="s">
        <v>41</v>
      </c>
      <c r="D97" s="110" t="s">
        <v>57</v>
      </c>
      <c r="E97" s="98">
        <v>0</v>
      </c>
      <c r="F97" s="98">
        <v>6.53</v>
      </c>
      <c r="G97" s="98">
        <v>0</v>
      </c>
      <c r="H97" s="98">
        <v>6.53</v>
      </c>
      <c r="I97" s="98">
        <v>0</v>
      </c>
      <c r="J97" s="98">
        <v>6.53</v>
      </c>
      <c r="K97" s="98">
        <v>0</v>
      </c>
      <c r="L97" s="98">
        <v>6.53</v>
      </c>
      <c r="M97" s="98">
        <v>0</v>
      </c>
      <c r="N97" s="98">
        <v>6.53</v>
      </c>
      <c r="O97" s="98">
        <v>0</v>
      </c>
      <c r="P97" s="104">
        <v>6.53</v>
      </c>
    </row>
    <row r="98" spans="3:16" x14ac:dyDescent="0.25">
      <c r="C98" s="103" t="s">
        <v>30</v>
      </c>
      <c r="D98" s="110" t="s">
        <v>58</v>
      </c>
      <c r="E98" s="98">
        <v>0.44</v>
      </c>
      <c r="F98" s="98">
        <v>1.26</v>
      </c>
      <c r="G98" s="98">
        <v>3.01</v>
      </c>
      <c r="H98" s="98">
        <v>1.27</v>
      </c>
      <c r="I98" s="98">
        <v>4.8600000000000003</v>
      </c>
      <c r="J98" s="98">
        <v>1.45</v>
      </c>
      <c r="K98" s="98">
        <v>7.84</v>
      </c>
      <c r="L98" s="98">
        <v>1.33</v>
      </c>
      <c r="M98" s="98">
        <v>11.64</v>
      </c>
      <c r="N98" s="98">
        <v>1.33</v>
      </c>
      <c r="O98" s="98">
        <v>5.08</v>
      </c>
      <c r="P98" s="104">
        <v>1.36</v>
      </c>
    </row>
    <row r="99" spans="3:16" x14ac:dyDescent="0.25">
      <c r="C99" s="103" t="s">
        <v>126</v>
      </c>
      <c r="D99" s="110" t="s">
        <v>56</v>
      </c>
      <c r="E99" s="98" t="s">
        <v>139</v>
      </c>
      <c r="F99" s="98" t="s">
        <v>139</v>
      </c>
      <c r="G99" s="98" t="s">
        <v>139</v>
      </c>
      <c r="H99" s="98" t="s">
        <v>139</v>
      </c>
      <c r="I99" s="98">
        <v>0.01</v>
      </c>
      <c r="J99" s="98">
        <v>4.21</v>
      </c>
      <c r="K99" s="98" t="s">
        <v>139</v>
      </c>
      <c r="L99" s="98" t="s">
        <v>139</v>
      </c>
      <c r="M99" s="98">
        <v>0</v>
      </c>
      <c r="N99" s="98">
        <v>4.21</v>
      </c>
      <c r="O99" s="98">
        <v>0</v>
      </c>
      <c r="P99" s="104">
        <v>4.21</v>
      </c>
    </row>
    <row r="100" spans="3:16" x14ac:dyDescent="0.25">
      <c r="C100" s="103" t="s">
        <v>126</v>
      </c>
      <c r="D100" s="110" t="s">
        <v>57</v>
      </c>
      <c r="E100" s="98" t="s">
        <v>139</v>
      </c>
      <c r="F100" s="98" t="s">
        <v>139</v>
      </c>
      <c r="G100" s="98">
        <v>0.01</v>
      </c>
      <c r="H100" s="98">
        <v>2.91</v>
      </c>
      <c r="I100" s="98">
        <v>0.14000000000000001</v>
      </c>
      <c r="J100" s="98">
        <v>2.78</v>
      </c>
      <c r="K100" s="98">
        <v>0.17</v>
      </c>
      <c r="L100" s="98">
        <v>2.75</v>
      </c>
      <c r="M100" s="98">
        <v>0.28000000000000003</v>
      </c>
      <c r="N100" s="98">
        <v>2.77</v>
      </c>
      <c r="O100" s="98">
        <v>0.12</v>
      </c>
      <c r="P100" s="104">
        <v>2.77</v>
      </c>
    </row>
    <row r="101" spans="3:16" x14ac:dyDescent="0.25">
      <c r="C101" s="103" t="s">
        <v>44</v>
      </c>
      <c r="D101" s="110" t="s">
        <v>56</v>
      </c>
      <c r="E101" s="98">
        <v>0</v>
      </c>
      <c r="F101" s="98">
        <v>5.19</v>
      </c>
      <c r="G101" s="98">
        <v>0.04</v>
      </c>
      <c r="H101" s="98">
        <v>5.67</v>
      </c>
      <c r="I101" s="98">
        <v>0.09</v>
      </c>
      <c r="J101" s="98">
        <v>5.79</v>
      </c>
      <c r="K101" s="98">
        <v>0.09</v>
      </c>
      <c r="L101" s="98">
        <v>5.72</v>
      </c>
      <c r="M101" s="98">
        <v>0.14000000000000001</v>
      </c>
      <c r="N101" s="98">
        <v>5.57</v>
      </c>
      <c r="O101" s="98">
        <v>7.0000000000000007E-2</v>
      </c>
      <c r="P101" s="104">
        <v>5.71</v>
      </c>
    </row>
    <row r="102" spans="3:16" x14ac:dyDescent="0.25">
      <c r="C102" s="103" t="s">
        <v>44</v>
      </c>
      <c r="D102" s="110" t="s">
        <v>58</v>
      </c>
      <c r="E102" s="98">
        <v>1.43</v>
      </c>
      <c r="F102" s="98">
        <v>2.65</v>
      </c>
      <c r="G102" s="98">
        <v>4.1900000000000004</v>
      </c>
      <c r="H102" s="98">
        <v>2.5299999999999998</v>
      </c>
      <c r="I102" s="98">
        <v>8.06</v>
      </c>
      <c r="J102" s="98">
        <v>2.48</v>
      </c>
      <c r="K102" s="98">
        <v>10.37</v>
      </c>
      <c r="L102" s="98">
        <v>2.4</v>
      </c>
      <c r="M102" s="98">
        <v>12.48</v>
      </c>
      <c r="N102" s="98">
        <v>2.5499999999999998</v>
      </c>
      <c r="O102" s="98">
        <v>7.15</v>
      </c>
      <c r="P102" s="104">
        <v>2.48</v>
      </c>
    </row>
    <row r="103" spans="3:16" x14ac:dyDescent="0.25">
      <c r="C103" s="103" t="s">
        <v>44</v>
      </c>
      <c r="D103" s="110" t="s">
        <v>57</v>
      </c>
      <c r="E103" s="98" t="s">
        <v>139</v>
      </c>
      <c r="F103" s="98" t="s">
        <v>139</v>
      </c>
      <c r="G103" s="98">
        <v>0.02</v>
      </c>
      <c r="H103" s="98">
        <v>1.75</v>
      </c>
      <c r="I103" s="98">
        <v>0.18</v>
      </c>
      <c r="J103" s="98">
        <v>3.19</v>
      </c>
      <c r="K103" s="98">
        <v>0.3</v>
      </c>
      <c r="L103" s="98">
        <v>2.63</v>
      </c>
      <c r="M103" s="98">
        <v>0.48</v>
      </c>
      <c r="N103" s="98">
        <v>2.94</v>
      </c>
      <c r="O103" s="98">
        <v>0.18</v>
      </c>
      <c r="P103" s="104">
        <v>2.93</v>
      </c>
    </row>
    <row r="104" spans="3:16" x14ac:dyDescent="0.25">
      <c r="C104" s="103" t="s">
        <v>152</v>
      </c>
      <c r="D104" s="110" t="s">
        <v>58</v>
      </c>
      <c r="E104" s="98">
        <v>0.03</v>
      </c>
      <c r="F104" s="98">
        <v>2.44</v>
      </c>
      <c r="G104" s="98">
        <v>0.03</v>
      </c>
      <c r="H104" s="98">
        <v>2.44</v>
      </c>
      <c r="I104" s="98">
        <v>0.14000000000000001</v>
      </c>
      <c r="J104" s="98">
        <v>2.4700000000000002</v>
      </c>
      <c r="K104" s="98">
        <v>0.1</v>
      </c>
      <c r="L104" s="98">
        <v>2.46</v>
      </c>
      <c r="M104" s="98">
        <v>7.0000000000000007E-2</v>
      </c>
      <c r="N104" s="98">
        <v>2.44</v>
      </c>
      <c r="O104" s="98">
        <v>0.09</v>
      </c>
      <c r="P104" s="104">
        <v>2.46</v>
      </c>
    </row>
    <row r="105" spans="3:16" x14ac:dyDescent="0.25">
      <c r="C105" s="103" t="s">
        <v>37</v>
      </c>
      <c r="D105" s="110" t="s">
        <v>145</v>
      </c>
      <c r="E105" s="98">
        <v>0.09</v>
      </c>
      <c r="F105" s="98">
        <v>2.14</v>
      </c>
      <c r="G105" s="98">
        <v>0.16</v>
      </c>
      <c r="H105" s="98">
        <v>2.12</v>
      </c>
      <c r="I105" s="98">
        <v>0.34</v>
      </c>
      <c r="J105" s="98">
        <v>2.09</v>
      </c>
      <c r="K105" s="98">
        <v>0.55000000000000004</v>
      </c>
      <c r="L105" s="98">
        <v>2.11</v>
      </c>
      <c r="M105" s="98">
        <v>0.34</v>
      </c>
      <c r="N105" s="98">
        <v>2.19</v>
      </c>
      <c r="O105" s="98">
        <v>0.3</v>
      </c>
      <c r="P105" s="104">
        <v>2.11</v>
      </c>
    </row>
    <row r="106" spans="3:16" x14ac:dyDescent="0.25">
      <c r="C106" s="103" t="s">
        <v>45</v>
      </c>
      <c r="D106" s="110" t="s">
        <v>58</v>
      </c>
      <c r="E106" s="98">
        <v>0.73</v>
      </c>
      <c r="F106" s="98">
        <v>3.24</v>
      </c>
      <c r="G106" s="98">
        <v>1.37</v>
      </c>
      <c r="H106" s="98">
        <v>3.2</v>
      </c>
      <c r="I106" s="98">
        <v>1.95</v>
      </c>
      <c r="J106" s="98">
        <v>3.09</v>
      </c>
      <c r="K106" s="98">
        <v>1.97</v>
      </c>
      <c r="L106" s="98">
        <v>3.07</v>
      </c>
      <c r="M106" s="98">
        <v>2.95</v>
      </c>
      <c r="N106" s="98">
        <v>3.18</v>
      </c>
      <c r="O106" s="98">
        <v>1.76</v>
      </c>
      <c r="P106" s="104">
        <v>3.13</v>
      </c>
    </row>
    <row r="107" spans="3:16" x14ac:dyDescent="0.25">
      <c r="C107" s="103" t="s">
        <v>34</v>
      </c>
      <c r="D107" s="110" t="s">
        <v>56</v>
      </c>
      <c r="E107" s="98">
        <v>0.28000000000000003</v>
      </c>
      <c r="F107" s="98">
        <v>4.54</v>
      </c>
      <c r="G107" s="98">
        <v>2.04</v>
      </c>
      <c r="H107" s="98">
        <v>4.57</v>
      </c>
      <c r="I107" s="98">
        <v>3.4</v>
      </c>
      <c r="J107" s="98">
        <v>4.62</v>
      </c>
      <c r="K107" s="98">
        <v>5.62</v>
      </c>
      <c r="L107" s="98">
        <v>4.5599999999999996</v>
      </c>
      <c r="M107" s="98">
        <v>8.19</v>
      </c>
      <c r="N107" s="98">
        <v>4.5199999999999996</v>
      </c>
      <c r="O107" s="98">
        <v>3.56</v>
      </c>
      <c r="P107" s="104">
        <v>4.57</v>
      </c>
    </row>
    <row r="108" spans="3:16" x14ac:dyDescent="0.25">
      <c r="C108" s="103" t="s">
        <v>35</v>
      </c>
      <c r="D108" s="110" t="s">
        <v>58</v>
      </c>
      <c r="E108" s="98">
        <v>0.74</v>
      </c>
      <c r="F108" s="98">
        <v>1.59</v>
      </c>
      <c r="G108" s="98">
        <v>6.21</v>
      </c>
      <c r="H108" s="98">
        <v>1.53</v>
      </c>
      <c r="I108" s="98">
        <v>11.46</v>
      </c>
      <c r="J108" s="98">
        <v>1.65</v>
      </c>
      <c r="K108" s="98">
        <v>17.600000000000001</v>
      </c>
      <c r="L108" s="98">
        <v>1.56</v>
      </c>
      <c r="M108" s="98">
        <v>25.37</v>
      </c>
      <c r="N108" s="98">
        <v>1.55</v>
      </c>
      <c r="O108" s="98">
        <v>11.38</v>
      </c>
      <c r="P108" s="104">
        <v>1.59</v>
      </c>
    </row>
    <row r="109" spans="3:16" x14ac:dyDescent="0.25">
      <c r="C109" s="103" t="s">
        <v>38</v>
      </c>
      <c r="D109" s="110" t="s">
        <v>58</v>
      </c>
      <c r="E109" s="98">
        <v>0</v>
      </c>
      <c r="F109" s="98">
        <v>3.42</v>
      </c>
      <c r="G109" s="98">
        <v>0</v>
      </c>
      <c r="H109" s="98">
        <v>3.28</v>
      </c>
      <c r="I109" s="98">
        <v>0.01</v>
      </c>
      <c r="J109" s="98">
        <v>3.47</v>
      </c>
      <c r="K109" s="98">
        <v>0.05</v>
      </c>
      <c r="L109" s="98">
        <v>3.38</v>
      </c>
      <c r="M109" s="98">
        <v>0.04</v>
      </c>
      <c r="N109" s="98">
        <v>3.41</v>
      </c>
      <c r="O109" s="98">
        <v>0.02</v>
      </c>
      <c r="P109" s="104">
        <v>3.4</v>
      </c>
    </row>
    <row r="110" spans="3:16" x14ac:dyDescent="0.25">
      <c r="C110" s="103" t="s">
        <v>31</v>
      </c>
      <c r="D110" s="110" t="s">
        <v>58</v>
      </c>
      <c r="E110" s="98">
        <v>0.04</v>
      </c>
      <c r="F110" s="98">
        <v>1</v>
      </c>
      <c r="G110" s="98">
        <v>0.01</v>
      </c>
      <c r="H110" s="98">
        <v>1.1000000000000001</v>
      </c>
      <c r="I110" s="98">
        <v>0.05</v>
      </c>
      <c r="J110" s="98">
        <v>1.06</v>
      </c>
      <c r="K110" s="98">
        <v>0.04</v>
      </c>
      <c r="L110" s="98">
        <v>0.8</v>
      </c>
      <c r="M110" s="98">
        <v>0.04</v>
      </c>
      <c r="N110" s="98">
        <v>0.96</v>
      </c>
      <c r="O110" s="98">
        <v>0.04</v>
      </c>
      <c r="P110" s="104">
        <v>0.99</v>
      </c>
    </row>
    <row r="111" spans="3:16" x14ac:dyDescent="0.25">
      <c r="C111" s="103" t="s">
        <v>42</v>
      </c>
      <c r="D111" s="110" t="s">
        <v>56</v>
      </c>
      <c r="E111" s="98">
        <v>0</v>
      </c>
      <c r="F111" s="98">
        <v>6.01</v>
      </c>
      <c r="G111" s="98">
        <v>0.04</v>
      </c>
      <c r="H111" s="98">
        <v>5.56</v>
      </c>
      <c r="I111" s="98">
        <v>0.05</v>
      </c>
      <c r="J111" s="98">
        <v>5.64</v>
      </c>
      <c r="K111" s="98">
        <v>0.15</v>
      </c>
      <c r="L111" s="98">
        <v>5</v>
      </c>
      <c r="M111" s="98">
        <v>0.09</v>
      </c>
      <c r="N111" s="98">
        <v>5.13</v>
      </c>
      <c r="O111" s="98">
        <v>0.06</v>
      </c>
      <c r="P111" s="104">
        <v>5.3</v>
      </c>
    </row>
    <row r="112" spans="3:16" x14ac:dyDescent="0.25">
      <c r="C112" s="103" t="s">
        <v>42</v>
      </c>
      <c r="D112" s="110" t="s">
        <v>58</v>
      </c>
      <c r="E112" s="98">
        <v>1.47</v>
      </c>
      <c r="F112" s="98">
        <v>3.15</v>
      </c>
      <c r="G112" s="98">
        <v>3.8</v>
      </c>
      <c r="H112" s="98">
        <v>3.02</v>
      </c>
      <c r="I112" s="98">
        <v>7.15</v>
      </c>
      <c r="J112" s="98">
        <v>2.99</v>
      </c>
      <c r="K112" s="98">
        <v>7.9</v>
      </c>
      <c r="L112" s="98">
        <v>2.97</v>
      </c>
      <c r="M112" s="98">
        <v>10.01</v>
      </c>
      <c r="N112" s="98">
        <v>3.03</v>
      </c>
      <c r="O112" s="98">
        <v>6.06</v>
      </c>
      <c r="P112" s="104">
        <v>3</v>
      </c>
    </row>
    <row r="113" spans="3:16" x14ac:dyDescent="0.25">
      <c r="C113" s="103" t="s">
        <v>42</v>
      </c>
      <c r="D113" s="110" t="s">
        <v>57</v>
      </c>
      <c r="E113" s="98">
        <v>0.03</v>
      </c>
      <c r="F113" s="98">
        <v>3.08</v>
      </c>
      <c r="G113" s="98">
        <v>0.33</v>
      </c>
      <c r="H113" s="98">
        <v>5.01</v>
      </c>
      <c r="I113" s="98">
        <v>0.9</v>
      </c>
      <c r="J113" s="98">
        <v>4.5999999999999996</v>
      </c>
      <c r="K113" s="98">
        <v>0.98</v>
      </c>
      <c r="L113" s="98">
        <v>4.66</v>
      </c>
      <c r="M113" s="98">
        <v>1.76</v>
      </c>
      <c r="N113" s="98">
        <v>4.0999999999999996</v>
      </c>
      <c r="O113" s="98">
        <v>0.77</v>
      </c>
      <c r="P113" s="104">
        <v>4.49</v>
      </c>
    </row>
    <row r="114" spans="3:16" x14ac:dyDescent="0.25">
      <c r="C114" s="103" t="s">
        <v>47</v>
      </c>
      <c r="D114" s="110" t="s">
        <v>59</v>
      </c>
      <c r="E114" s="98" t="s">
        <v>139</v>
      </c>
      <c r="F114" s="98" t="s">
        <v>139</v>
      </c>
      <c r="G114" s="98">
        <v>0</v>
      </c>
      <c r="H114" s="98">
        <v>4</v>
      </c>
      <c r="I114" s="98">
        <v>0</v>
      </c>
      <c r="J114" s="98">
        <v>4</v>
      </c>
      <c r="K114" s="98">
        <v>0</v>
      </c>
      <c r="L114" s="98">
        <v>4</v>
      </c>
      <c r="M114" s="98">
        <v>0</v>
      </c>
      <c r="N114" s="98">
        <v>4</v>
      </c>
      <c r="O114" s="98">
        <v>0</v>
      </c>
      <c r="P114" s="104">
        <v>4</v>
      </c>
    </row>
    <row r="115" spans="3:16" x14ac:dyDescent="0.25">
      <c r="C115" s="103" t="s">
        <v>47</v>
      </c>
      <c r="D115" s="110" t="s">
        <v>58</v>
      </c>
      <c r="E115" s="98">
        <v>0.12</v>
      </c>
      <c r="F115" s="98">
        <v>3.38</v>
      </c>
      <c r="G115" s="98">
        <v>0.38</v>
      </c>
      <c r="H115" s="98">
        <v>3.47</v>
      </c>
      <c r="I115" s="98">
        <v>0.84</v>
      </c>
      <c r="J115" s="98">
        <v>3.47</v>
      </c>
      <c r="K115" s="98">
        <v>0.67</v>
      </c>
      <c r="L115" s="98">
        <v>3.44</v>
      </c>
      <c r="M115" s="98">
        <v>0.66</v>
      </c>
      <c r="N115" s="98">
        <v>3.44</v>
      </c>
      <c r="O115" s="98">
        <v>0.59</v>
      </c>
      <c r="P115" s="104">
        <v>3.46</v>
      </c>
    </row>
    <row r="116" spans="3:16" x14ac:dyDescent="0.25">
      <c r="C116" s="103" t="s">
        <v>32</v>
      </c>
      <c r="D116" s="110" t="s">
        <v>58</v>
      </c>
      <c r="E116" s="98">
        <v>0</v>
      </c>
      <c r="F116" s="98">
        <v>1.1499999999999999</v>
      </c>
      <c r="G116" s="98">
        <v>0.01</v>
      </c>
      <c r="H116" s="98">
        <v>1.1399999999999999</v>
      </c>
      <c r="I116" s="98">
        <v>0.01</v>
      </c>
      <c r="J116" s="98">
        <v>0.97</v>
      </c>
      <c r="K116" s="98">
        <v>0.01</v>
      </c>
      <c r="L116" s="98">
        <v>1.1499999999999999</v>
      </c>
      <c r="M116" s="98">
        <v>0.01</v>
      </c>
      <c r="N116" s="98">
        <v>1.06</v>
      </c>
      <c r="O116" s="98">
        <v>0.01</v>
      </c>
      <c r="P116" s="104">
        <v>1.06</v>
      </c>
    </row>
    <row r="117" spans="3:16" ht="54" x14ac:dyDescent="0.25">
      <c r="C117" s="103" t="s">
        <v>146</v>
      </c>
      <c r="D117" s="229" t="s">
        <v>56</v>
      </c>
      <c r="E117" s="228">
        <v>1.52</v>
      </c>
      <c r="F117" s="228">
        <v>0.3</v>
      </c>
      <c r="G117" s="228">
        <v>3.44</v>
      </c>
      <c r="H117" s="228">
        <v>0.3</v>
      </c>
      <c r="I117" s="228">
        <v>2.36</v>
      </c>
      <c r="J117" s="228">
        <v>0.3</v>
      </c>
      <c r="K117" s="228">
        <v>6.22</v>
      </c>
      <c r="L117" s="228">
        <v>0.3</v>
      </c>
      <c r="M117" s="228">
        <v>7.13</v>
      </c>
      <c r="N117" s="228">
        <v>0.31</v>
      </c>
      <c r="O117" s="228">
        <v>3.59</v>
      </c>
      <c r="P117" s="230">
        <v>0.3</v>
      </c>
    </row>
    <row r="118" spans="3:16" x14ac:dyDescent="0.25">
      <c r="C118" s="103" t="s">
        <v>46</v>
      </c>
      <c r="D118" s="229"/>
      <c r="E118" s="228"/>
      <c r="F118" s="228"/>
      <c r="G118" s="228"/>
      <c r="H118" s="228"/>
      <c r="I118" s="228"/>
      <c r="J118" s="228"/>
      <c r="K118" s="228"/>
      <c r="L118" s="228"/>
      <c r="M118" s="228"/>
      <c r="N118" s="228"/>
      <c r="O118" s="228"/>
      <c r="P118" s="230"/>
    </row>
    <row r="119" spans="3:16" x14ac:dyDescent="0.25">
      <c r="C119" s="103" t="s">
        <v>46</v>
      </c>
      <c r="D119" s="110" t="s">
        <v>58</v>
      </c>
      <c r="E119" s="98">
        <v>0.28999999999999998</v>
      </c>
      <c r="F119" s="98">
        <v>1.47</v>
      </c>
      <c r="G119" s="98">
        <v>0.92</v>
      </c>
      <c r="H119" s="98">
        <v>1.1599999999999999</v>
      </c>
      <c r="I119" s="98">
        <v>1.47</v>
      </c>
      <c r="J119" s="98">
        <v>0.87</v>
      </c>
      <c r="K119" s="98">
        <v>3.51</v>
      </c>
      <c r="L119" s="98">
        <v>0.74</v>
      </c>
      <c r="M119" s="98">
        <v>6.55</v>
      </c>
      <c r="N119" s="98">
        <v>1.1200000000000001</v>
      </c>
      <c r="O119" s="98">
        <v>2.11</v>
      </c>
      <c r="P119" s="104">
        <v>0.96</v>
      </c>
    </row>
    <row r="120" spans="3:16" x14ac:dyDescent="0.25">
      <c r="C120" s="103" t="s">
        <v>119</v>
      </c>
      <c r="D120" s="110" t="s">
        <v>56</v>
      </c>
      <c r="E120" s="98">
        <v>0.05</v>
      </c>
      <c r="F120" s="98">
        <v>0.24</v>
      </c>
      <c r="G120" s="98">
        <v>0.04</v>
      </c>
      <c r="H120" s="98">
        <v>0.24</v>
      </c>
      <c r="I120" s="98">
        <v>7.0000000000000007E-2</v>
      </c>
      <c r="J120" s="98">
        <v>0.23</v>
      </c>
      <c r="K120" s="98">
        <v>0.32</v>
      </c>
      <c r="L120" s="98">
        <v>0.24</v>
      </c>
      <c r="M120" s="98">
        <v>0.64</v>
      </c>
      <c r="N120" s="98">
        <v>0.24</v>
      </c>
      <c r="O120" s="98">
        <v>0.17</v>
      </c>
      <c r="P120" s="104">
        <v>0.24</v>
      </c>
    </row>
    <row r="121" spans="3:16" x14ac:dyDescent="0.25">
      <c r="C121" s="103" t="s">
        <v>147</v>
      </c>
      <c r="D121" s="229" t="s">
        <v>165</v>
      </c>
      <c r="E121" s="228" t="s">
        <v>139</v>
      </c>
      <c r="F121" s="228" t="s">
        <v>139</v>
      </c>
      <c r="G121" s="228" t="s">
        <v>139</v>
      </c>
      <c r="H121" s="228" t="s">
        <v>139</v>
      </c>
      <c r="I121" s="228">
        <v>0</v>
      </c>
      <c r="J121" s="228">
        <v>7.85</v>
      </c>
      <c r="K121" s="228">
        <v>0.01</v>
      </c>
      <c r="L121" s="228">
        <v>7.85</v>
      </c>
      <c r="M121" s="228">
        <v>0.01</v>
      </c>
      <c r="N121" s="228">
        <v>7.85</v>
      </c>
      <c r="O121" s="228">
        <v>0</v>
      </c>
      <c r="P121" s="230">
        <v>7.85</v>
      </c>
    </row>
    <row r="122" spans="3:16" x14ac:dyDescent="0.25">
      <c r="C122" s="103" t="s">
        <v>49</v>
      </c>
      <c r="D122" s="229"/>
      <c r="E122" s="228"/>
      <c r="F122" s="228"/>
      <c r="G122" s="228"/>
      <c r="H122" s="228"/>
      <c r="I122" s="228"/>
      <c r="J122" s="228"/>
      <c r="K122" s="228"/>
      <c r="L122" s="228"/>
      <c r="M122" s="228"/>
      <c r="N122" s="228"/>
      <c r="O122" s="228"/>
      <c r="P122" s="230"/>
    </row>
    <row r="123" spans="3:16" x14ac:dyDescent="0.25">
      <c r="C123" s="103" t="s">
        <v>49</v>
      </c>
      <c r="D123" s="110" t="s">
        <v>61</v>
      </c>
      <c r="E123" s="98" t="s">
        <v>139</v>
      </c>
      <c r="F123" s="98" t="s">
        <v>139</v>
      </c>
      <c r="G123" s="98">
        <v>0.02</v>
      </c>
      <c r="H123" s="98">
        <v>6.03</v>
      </c>
      <c r="I123" s="98">
        <v>0.02</v>
      </c>
      <c r="J123" s="98">
        <v>6.03</v>
      </c>
      <c r="K123" s="98">
        <v>0.04</v>
      </c>
      <c r="L123" s="98">
        <v>6.03</v>
      </c>
      <c r="M123" s="98">
        <v>0.02</v>
      </c>
      <c r="N123" s="98">
        <v>6.03</v>
      </c>
      <c r="O123" s="98">
        <v>0.02</v>
      </c>
      <c r="P123" s="104">
        <v>6.03</v>
      </c>
    </row>
    <row r="124" spans="3:16" x14ac:dyDescent="0.25">
      <c r="C124" s="103" t="s">
        <v>49</v>
      </c>
      <c r="D124" s="110" t="s">
        <v>58</v>
      </c>
      <c r="E124" s="98">
        <v>0.01</v>
      </c>
      <c r="F124" s="98">
        <v>3.87</v>
      </c>
      <c r="G124" s="98">
        <v>0.02</v>
      </c>
      <c r="H124" s="98">
        <v>3.87</v>
      </c>
      <c r="I124" s="98">
        <v>0.03</v>
      </c>
      <c r="J124" s="98">
        <v>3.87</v>
      </c>
      <c r="K124" s="98">
        <v>0.03</v>
      </c>
      <c r="L124" s="98">
        <v>3.87</v>
      </c>
      <c r="M124" s="98">
        <v>0.01</v>
      </c>
      <c r="N124" s="98">
        <v>3.87</v>
      </c>
      <c r="O124" s="98">
        <v>0.02</v>
      </c>
      <c r="P124" s="104">
        <v>3.87</v>
      </c>
    </row>
    <row r="125" spans="3:16" x14ac:dyDescent="0.25">
      <c r="C125" s="103" t="s">
        <v>49</v>
      </c>
      <c r="D125" s="110" t="s">
        <v>57</v>
      </c>
      <c r="E125" s="98" t="s">
        <v>139</v>
      </c>
      <c r="F125" s="98" t="s">
        <v>139</v>
      </c>
      <c r="G125" s="98">
        <v>0</v>
      </c>
      <c r="H125" s="98">
        <v>5.1100000000000003</v>
      </c>
      <c r="I125" s="98">
        <v>0.01</v>
      </c>
      <c r="J125" s="98">
        <v>5.1100000000000003</v>
      </c>
      <c r="K125" s="98">
        <v>0.02</v>
      </c>
      <c r="L125" s="98">
        <v>5.1100000000000003</v>
      </c>
      <c r="M125" s="98" t="s">
        <v>139</v>
      </c>
      <c r="N125" s="98" t="s">
        <v>139</v>
      </c>
      <c r="O125" s="98">
        <v>0.01</v>
      </c>
      <c r="P125" s="104">
        <v>5.1100000000000003</v>
      </c>
    </row>
    <row r="126" spans="3:16" x14ac:dyDescent="0.25">
      <c r="C126" s="103" t="s">
        <v>50</v>
      </c>
      <c r="D126" s="110" t="s">
        <v>163</v>
      </c>
      <c r="E126" s="98">
        <v>0</v>
      </c>
      <c r="F126" s="98">
        <v>2.79</v>
      </c>
      <c r="G126" s="98" t="s">
        <v>139</v>
      </c>
      <c r="H126" s="98" t="s">
        <v>139</v>
      </c>
      <c r="I126" s="98" t="s">
        <v>139</v>
      </c>
      <c r="J126" s="98" t="s">
        <v>139</v>
      </c>
      <c r="K126" s="98" t="s">
        <v>139</v>
      </c>
      <c r="L126" s="98" t="s">
        <v>139</v>
      </c>
      <c r="M126" s="98" t="s">
        <v>139</v>
      </c>
      <c r="N126" s="98" t="s">
        <v>139</v>
      </c>
      <c r="O126" s="98">
        <v>0</v>
      </c>
      <c r="P126" s="104">
        <v>2.79</v>
      </c>
    </row>
    <row r="127" spans="3:16" x14ac:dyDescent="0.25">
      <c r="C127" s="103" t="s">
        <v>50</v>
      </c>
      <c r="D127" s="110" t="s">
        <v>60</v>
      </c>
      <c r="E127" s="98">
        <v>0.04</v>
      </c>
      <c r="F127" s="98">
        <v>10.19</v>
      </c>
      <c r="G127" s="98">
        <v>0.04</v>
      </c>
      <c r="H127" s="98">
        <v>10.11</v>
      </c>
      <c r="I127" s="98">
        <v>0.05</v>
      </c>
      <c r="J127" s="98">
        <v>10.11</v>
      </c>
      <c r="K127" s="98">
        <v>0.08</v>
      </c>
      <c r="L127" s="98">
        <v>10.14</v>
      </c>
      <c r="M127" s="98">
        <v>0.06</v>
      </c>
      <c r="N127" s="98">
        <v>-0.98</v>
      </c>
      <c r="O127" s="98">
        <v>0.05</v>
      </c>
      <c r="P127" s="104">
        <v>8.6</v>
      </c>
    </row>
    <row r="128" spans="3:16" x14ac:dyDescent="0.25">
      <c r="C128" s="103" t="s">
        <v>50</v>
      </c>
      <c r="D128" s="110" t="s">
        <v>166</v>
      </c>
      <c r="E128" s="98">
        <v>0</v>
      </c>
      <c r="F128" s="98">
        <v>0.72</v>
      </c>
      <c r="G128" s="98" t="s">
        <v>139</v>
      </c>
      <c r="H128" s="98" t="s">
        <v>139</v>
      </c>
      <c r="I128" s="98" t="s">
        <v>139</v>
      </c>
      <c r="J128" s="98" t="s">
        <v>139</v>
      </c>
      <c r="K128" s="98" t="s">
        <v>139</v>
      </c>
      <c r="L128" s="98" t="s">
        <v>139</v>
      </c>
      <c r="M128" s="98" t="s">
        <v>139</v>
      </c>
      <c r="N128" s="98" t="s">
        <v>139</v>
      </c>
      <c r="O128" s="98">
        <v>0</v>
      </c>
      <c r="P128" s="104">
        <v>0.72</v>
      </c>
    </row>
    <row r="129" spans="3:16" x14ac:dyDescent="0.25">
      <c r="C129" s="103" t="s">
        <v>50</v>
      </c>
      <c r="D129" s="110" t="s">
        <v>62</v>
      </c>
      <c r="E129" s="98" t="s">
        <v>139</v>
      </c>
      <c r="F129" s="98" t="s">
        <v>139</v>
      </c>
      <c r="G129" s="98">
        <v>0</v>
      </c>
      <c r="H129" s="98">
        <v>1.8</v>
      </c>
      <c r="I129" s="98" t="s">
        <v>139</v>
      </c>
      <c r="J129" s="98" t="s">
        <v>139</v>
      </c>
      <c r="K129" s="98" t="s">
        <v>139</v>
      </c>
      <c r="L129" s="98" t="s">
        <v>139</v>
      </c>
      <c r="M129" s="98" t="s">
        <v>139</v>
      </c>
      <c r="N129" s="98" t="s">
        <v>139</v>
      </c>
      <c r="O129" s="98">
        <v>0</v>
      </c>
      <c r="P129" s="104">
        <v>1.8</v>
      </c>
    </row>
    <row r="130" spans="3:16" x14ac:dyDescent="0.25">
      <c r="C130" s="103" t="s">
        <v>50</v>
      </c>
      <c r="D130" s="110" t="s">
        <v>61</v>
      </c>
      <c r="E130" s="98">
        <v>0.22</v>
      </c>
      <c r="F130" s="98">
        <v>6.29</v>
      </c>
      <c r="G130" s="98">
        <v>0.44</v>
      </c>
      <c r="H130" s="98">
        <v>2.39</v>
      </c>
      <c r="I130" s="98">
        <v>0.52</v>
      </c>
      <c r="J130" s="98">
        <v>1.54</v>
      </c>
      <c r="K130" s="98">
        <v>0.8</v>
      </c>
      <c r="L130" s="98">
        <v>-0.47</v>
      </c>
      <c r="M130" s="98">
        <v>0.66</v>
      </c>
      <c r="N130" s="98">
        <v>1.95</v>
      </c>
      <c r="O130" s="98">
        <v>0.52</v>
      </c>
      <c r="P130" s="104">
        <v>1.58</v>
      </c>
    </row>
    <row r="131" spans="3:16" ht="15.75" thickBot="1" x14ac:dyDescent="0.3">
      <c r="C131" s="112" t="s">
        <v>50</v>
      </c>
      <c r="D131" s="113" t="s">
        <v>57</v>
      </c>
      <c r="E131" s="107">
        <v>0.09</v>
      </c>
      <c r="F131" s="107">
        <v>2.62</v>
      </c>
      <c r="G131" s="107">
        <v>0.14000000000000001</v>
      </c>
      <c r="H131" s="107">
        <v>2.17</v>
      </c>
      <c r="I131" s="107">
        <v>0.19</v>
      </c>
      <c r="J131" s="107">
        <v>1.98</v>
      </c>
      <c r="K131" s="107">
        <v>0.34</v>
      </c>
      <c r="L131" s="107">
        <v>1.28</v>
      </c>
      <c r="M131" s="107">
        <v>0.89</v>
      </c>
      <c r="N131" s="107">
        <v>0.41</v>
      </c>
      <c r="O131" s="107">
        <v>0.27</v>
      </c>
      <c r="P131" s="108">
        <v>1.27</v>
      </c>
    </row>
  </sheetData>
  <mergeCells count="88">
    <mergeCell ref="C3:D3"/>
    <mergeCell ref="E3:F3"/>
    <mergeCell ref="G3:H3"/>
    <mergeCell ref="S38:S39"/>
    <mergeCell ref="M34:M35"/>
    <mergeCell ref="N34:N35"/>
    <mergeCell ref="O34:O35"/>
    <mergeCell ref="P34:P35"/>
    <mergeCell ref="I3:J3"/>
    <mergeCell ref="K3:L3"/>
    <mergeCell ref="M3:N3"/>
    <mergeCell ref="O3:P3"/>
    <mergeCell ref="AB4:AB5"/>
    <mergeCell ref="AC4:AC5"/>
    <mergeCell ref="AB2:AC2"/>
    <mergeCell ref="AD2:AE2"/>
    <mergeCell ref="T2:T3"/>
    <mergeCell ref="U2:U3"/>
    <mergeCell ref="V2:W2"/>
    <mergeCell ref="X2:Y2"/>
    <mergeCell ref="Z2:AA2"/>
    <mergeCell ref="U4:U5"/>
    <mergeCell ref="V4:V5"/>
    <mergeCell ref="W4:W5"/>
    <mergeCell ref="X4:X5"/>
    <mergeCell ref="Y4:Y5"/>
    <mergeCell ref="Z4:Z5"/>
    <mergeCell ref="AA4:AA5"/>
    <mergeCell ref="AF2:AG2"/>
    <mergeCell ref="AD4:AD5"/>
    <mergeCell ref="AE4:AE5"/>
    <mergeCell ref="AF4:AF5"/>
    <mergeCell ref="AG4:AG5"/>
    <mergeCell ref="AE29:AE30"/>
    <mergeCell ref="AF29:AF30"/>
    <mergeCell ref="AG29:AG30"/>
    <mergeCell ref="AE32:AE33"/>
    <mergeCell ref="AF32:AF33"/>
    <mergeCell ref="AG32:AG33"/>
    <mergeCell ref="D117:D118"/>
    <mergeCell ref="E117:E118"/>
    <mergeCell ref="J34:J35"/>
    <mergeCell ref="K34:K35"/>
    <mergeCell ref="L34:L35"/>
    <mergeCell ref="G117:G118"/>
    <mergeCell ref="H117:H118"/>
    <mergeCell ref="F117:F118"/>
    <mergeCell ref="I121:I122"/>
    <mergeCell ref="J121:J122"/>
    <mergeCell ref="K121:K122"/>
    <mergeCell ref="L121:L122"/>
    <mergeCell ref="M121:M122"/>
    <mergeCell ref="N117:N118"/>
    <mergeCell ref="O117:O118"/>
    <mergeCell ref="P117:P118"/>
    <mergeCell ref="D121:D122"/>
    <mergeCell ref="E121:E122"/>
    <mergeCell ref="F121:F122"/>
    <mergeCell ref="G121:G122"/>
    <mergeCell ref="H121:H122"/>
    <mergeCell ref="N121:N122"/>
    <mergeCell ref="O121:O122"/>
    <mergeCell ref="P121:P122"/>
    <mergeCell ref="I117:I118"/>
    <mergeCell ref="J117:J118"/>
    <mergeCell ref="K117:K118"/>
    <mergeCell ref="L117:L118"/>
    <mergeCell ref="M117:M118"/>
    <mergeCell ref="AA29:AA30"/>
    <mergeCell ref="AB29:AB30"/>
    <mergeCell ref="AC29:AC30"/>
    <mergeCell ref="AD29:AD30"/>
    <mergeCell ref="U29:U30"/>
    <mergeCell ref="V29:V30"/>
    <mergeCell ref="W29:W30"/>
    <mergeCell ref="X29:X30"/>
    <mergeCell ref="Y29:Y30"/>
    <mergeCell ref="Z29:Z30"/>
    <mergeCell ref="AA32:AA33"/>
    <mergeCell ref="AB32:AB33"/>
    <mergeCell ref="AC32:AC33"/>
    <mergeCell ref="AD32:AD33"/>
    <mergeCell ref="U32:U33"/>
    <mergeCell ref="V32:V33"/>
    <mergeCell ref="W32:W33"/>
    <mergeCell ref="X32:X33"/>
    <mergeCell ref="Y32:Y33"/>
    <mergeCell ref="Z32:Z3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66"/>
  <sheetViews>
    <sheetView topLeftCell="A19" zoomScale="85" zoomScaleNormal="85" workbookViewId="0">
      <selection activeCell="J45" sqref="J45"/>
    </sheetView>
  </sheetViews>
  <sheetFormatPr baseColWidth="10" defaultRowHeight="15" x14ac:dyDescent="0.25"/>
  <cols>
    <col min="1" max="1" width="25.140625" customWidth="1"/>
    <col min="2" max="2" width="36.28515625" customWidth="1"/>
  </cols>
  <sheetData>
    <row r="1" spans="1:13" ht="15.75" thickBot="1" x14ac:dyDescent="0.3">
      <c r="A1" s="219" t="s">
        <v>124</v>
      </c>
      <c r="B1" s="1"/>
      <c r="C1" s="219" t="s">
        <v>53</v>
      </c>
      <c r="D1" s="2" t="s">
        <v>28</v>
      </c>
    </row>
    <row r="2" spans="1:13" ht="49.5" customHeight="1" thickBot="1" x14ac:dyDescent="0.3">
      <c r="A2" s="220"/>
      <c r="B2" s="19"/>
      <c r="C2" s="220"/>
      <c r="D2" s="3" t="s">
        <v>54</v>
      </c>
    </row>
    <row r="3" spans="1:13" ht="15.75" customHeight="1" thickBot="1" x14ac:dyDescent="0.35">
      <c r="A3" s="5" t="s">
        <v>55</v>
      </c>
      <c r="B3" s="20"/>
      <c r="C3" s="245" t="s">
        <v>56</v>
      </c>
      <c r="D3" s="41"/>
    </row>
    <row r="4" spans="1:13" ht="27" x14ac:dyDescent="0.3">
      <c r="A4" s="5" t="s">
        <v>63</v>
      </c>
      <c r="B4" s="23" t="str">
        <f>+VLOOKUP(A4,$A$45:$B$64,2,0)</f>
        <v>Bonos del Banco Central de Chile expresados en pesos</v>
      </c>
      <c r="C4" s="246"/>
      <c r="D4" s="70">
        <v>2.2000000000000002</v>
      </c>
      <c r="E4" s="51"/>
      <c r="F4" s="135"/>
    </row>
    <row r="5" spans="1:13" ht="27" x14ac:dyDescent="0.3">
      <c r="A5" s="5" t="s">
        <v>65</v>
      </c>
      <c r="B5" s="23" t="str">
        <f>+VLOOKUP(A5,$A$45:$B$64,2,0)</f>
        <v>Bonos respaldados por títulos de créditos transferibles</v>
      </c>
      <c r="C5" s="39" t="s">
        <v>56</v>
      </c>
      <c r="D5" s="76">
        <v>0.02</v>
      </c>
      <c r="E5" s="51"/>
      <c r="F5" s="136"/>
    </row>
    <row r="6" spans="1:13" ht="27" x14ac:dyDescent="0.3">
      <c r="A6" s="5" t="s">
        <v>65</v>
      </c>
      <c r="B6" s="23" t="str">
        <f>+VLOOKUP(A6,$A$45:$B$64,2,0)</f>
        <v>Bonos respaldados por títulos de créditos transferibles</v>
      </c>
      <c r="C6" s="39" t="s">
        <v>58</v>
      </c>
      <c r="D6" s="76">
        <v>0.02</v>
      </c>
      <c r="E6" s="51"/>
      <c r="F6" s="79"/>
    </row>
    <row r="7" spans="1:13" ht="27" x14ac:dyDescent="0.3">
      <c r="A7" s="5" t="s">
        <v>65</v>
      </c>
      <c r="B7" s="23" t="str">
        <f>+VLOOKUP(A7,$A$45:$B$64,2,0)</f>
        <v>Bonos respaldados por títulos de créditos transferibles</v>
      </c>
      <c r="C7" s="39" t="s">
        <v>57</v>
      </c>
      <c r="D7" s="76">
        <v>9.89</v>
      </c>
      <c r="E7" s="51"/>
      <c r="F7" s="79"/>
    </row>
    <row r="8" spans="1:13" ht="27" x14ac:dyDescent="0.3">
      <c r="A8" s="5" t="s">
        <v>67</v>
      </c>
      <c r="B8" s="23" t="str">
        <f>+VLOOKUP(A8,$A$45:$B$64,2,0)</f>
        <v>Bonos del banco Central de Chile expresados en UF</v>
      </c>
      <c r="C8" s="39" t="s">
        <v>58</v>
      </c>
      <c r="D8" s="76">
        <v>0.01</v>
      </c>
      <c r="E8" s="51"/>
      <c r="F8" s="79"/>
    </row>
    <row r="9" spans="1:13" ht="15.75" x14ac:dyDescent="0.3">
      <c r="A9" s="5" t="s">
        <v>127</v>
      </c>
      <c r="B9" s="23" t="str">
        <f>+VLOOKUP(A9,$A$45:$B$65,2,0)</f>
        <v>Bonos del Estado de Chile</v>
      </c>
      <c r="C9" s="95" t="s">
        <v>166</v>
      </c>
      <c r="D9" s="84">
        <v>0</v>
      </c>
      <c r="E9" s="51"/>
      <c r="F9" s="79"/>
    </row>
    <row r="10" spans="1:13" ht="15.75" x14ac:dyDescent="0.3">
      <c r="A10" s="5" t="s">
        <v>127</v>
      </c>
      <c r="B10" s="23" t="str">
        <f>+VLOOKUP(A10,$A$45:$B$65,2,0)</f>
        <v>Bonos del Estado de Chile</v>
      </c>
      <c r="C10" s="72" t="s">
        <v>57</v>
      </c>
      <c r="D10" s="76">
        <v>7.0000000000000007E-2</v>
      </c>
      <c r="E10" s="51"/>
      <c r="F10" s="79"/>
    </row>
    <row r="11" spans="1:13" ht="27" x14ac:dyDescent="0.3">
      <c r="A11" s="5" t="s">
        <v>71</v>
      </c>
      <c r="B11" s="24" t="str">
        <f>+VLOOKUP(A11,$A$45:$B$64,2,0)</f>
        <v>Bonos Bancarios emitidos por Instituciones Financieras</v>
      </c>
      <c r="C11" s="39" t="s">
        <v>56</v>
      </c>
      <c r="D11" s="79">
        <v>0.13</v>
      </c>
      <c r="E11" s="52"/>
      <c r="F11" s="79"/>
    </row>
    <row r="12" spans="1:13" ht="27" x14ac:dyDescent="0.3">
      <c r="A12" s="5" t="s">
        <v>71</v>
      </c>
      <c r="B12" s="24" t="str">
        <f>+VLOOKUP(A12,$A$45:$B$64,2,0)</f>
        <v>Bonos Bancarios emitidos por Instituciones Financieras</v>
      </c>
      <c r="C12" s="39" t="s">
        <v>58</v>
      </c>
      <c r="D12" s="79">
        <v>13.61</v>
      </c>
      <c r="E12" s="52"/>
      <c r="F12" s="79"/>
    </row>
    <row r="13" spans="1:13" ht="27" x14ac:dyDescent="0.3">
      <c r="A13" s="5" t="s">
        <v>71</v>
      </c>
      <c r="B13" s="24" t="str">
        <f>+VLOOKUP(A13,$A$45:$B$64,2,0)</f>
        <v>Bonos Bancarios emitidos por Instituciones Financieras</v>
      </c>
      <c r="C13" s="39" t="s">
        <v>57</v>
      </c>
      <c r="D13" s="79">
        <v>0.56999999999999995</v>
      </c>
      <c r="E13" s="52"/>
      <c r="F13" s="79"/>
    </row>
    <row r="14" spans="1:13" ht="15.75" x14ac:dyDescent="0.3">
      <c r="A14" s="5" t="s">
        <v>153</v>
      </c>
      <c r="B14" s="24" t="str">
        <f>+VLOOKUP(A14,$A$45:$B$70,2,0)</f>
        <v>Bono hipotecario emitido por Inst. financieras</v>
      </c>
      <c r="C14" s="75" t="s">
        <v>58</v>
      </c>
      <c r="D14" s="79">
        <v>7.0000000000000007E-2</v>
      </c>
      <c r="E14" s="52"/>
      <c r="F14" s="79"/>
    </row>
    <row r="15" spans="1:13" ht="27" x14ac:dyDescent="0.3">
      <c r="A15" s="5" t="s">
        <v>73</v>
      </c>
      <c r="B15" s="23" t="str">
        <f t="shared" ref="B15:B26" si="0">+VLOOKUP(A15,$A$45:$B$64,2,0)</f>
        <v>Bonos de reconocimiento Previsionales emitidos por el INP u otras Instituciones de Previsión</v>
      </c>
      <c r="C15" s="39" t="s">
        <v>56</v>
      </c>
      <c r="D15" s="79">
        <v>0.27</v>
      </c>
      <c r="E15" s="51"/>
      <c r="F15" s="79"/>
      <c r="G15" s="37"/>
      <c r="L15" s="16">
        <v>0.79269061121613116</v>
      </c>
      <c r="M15" s="16">
        <v>0.20730938878386893</v>
      </c>
    </row>
    <row r="16" spans="1:13" ht="27" x14ac:dyDescent="0.3">
      <c r="A16" s="5" t="s">
        <v>75</v>
      </c>
      <c r="B16" s="24" t="str">
        <f t="shared" si="0"/>
        <v>Bonos subordinados emitidos por Instituciones Financieras</v>
      </c>
      <c r="C16" s="39" t="s">
        <v>58</v>
      </c>
      <c r="D16" s="79">
        <v>2.74</v>
      </c>
      <c r="E16" s="52"/>
      <c r="F16" s="79"/>
    </row>
    <row r="17" spans="1:15" ht="27" x14ac:dyDescent="0.3">
      <c r="A17" s="5" t="s">
        <v>77</v>
      </c>
      <c r="B17" s="23" t="str">
        <f t="shared" si="0"/>
        <v>Bonos de la Tesorería General de la República, en pesos</v>
      </c>
      <c r="C17" s="39" t="s">
        <v>56</v>
      </c>
      <c r="D17" s="79">
        <v>9.6</v>
      </c>
      <c r="E17" s="51"/>
      <c r="F17" s="79"/>
      <c r="K17" t="s">
        <v>125</v>
      </c>
      <c r="L17" s="12">
        <f>+L19/$J$19</f>
        <v>0.52924850555081127</v>
      </c>
      <c r="M17" s="12">
        <f>+M19/$J$19</f>
        <v>0.25811272416737824</v>
      </c>
    </row>
    <row r="18" spans="1:15" ht="27" x14ac:dyDescent="0.3">
      <c r="A18" s="5" t="s">
        <v>79</v>
      </c>
      <c r="B18" s="23" t="str">
        <f t="shared" si="0"/>
        <v>Bonos de la Tesorería General de la República en UF</v>
      </c>
      <c r="C18" s="39" t="s">
        <v>58</v>
      </c>
      <c r="D18" s="79">
        <v>24.69</v>
      </c>
      <c r="E18" s="51"/>
      <c r="F18" s="79"/>
      <c r="L18" s="64" t="s">
        <v>58</v>
      </c>
      <c r="M18" s="64" t="s">
        <v>104</v>
      </c>
      <c r="N18" t="s">
        <v>105</v>
      </c>
    </row>
    <row r="19" spans="1:15" ht="15.75" x14ac:dyDescent="0.3">
      <c r="A19" s="5" t="s">
        <v>81</v>
      </c>
      <c r="B19" s="23" t="str">
        <f t="shared" si="0"/>
        <v>Bonos Vivienda leasing</v>
      </c>
      <c r="C19" s="39" t="s">
        <v>58</v>
      </c>
      <c r="D19" s="79">
        <v>0.03</v>
      </c>
      <c r="E19" s="51"/>
      <c r="F19" s="79"/>
      <c r="G19" s="16">
        <f t="shared" ref="G19:G24" si="1">+I19*100-L19-M19-N19</f>
        <v>-5.0700000000000038</v>
      </c>
      <c r="H19" s="29" t="s">
        <v>21</v>
      </c>
      <c r="I19" s="9">
        <f>+'tipo y dur'!F5</f>
        <v>0.41770000000000002</v>
      </c>
      <c r="J19" s="57">
        <f>+D4+D8+D15+D17+D18+D19+D31+D5+D6+D7+D10+D20+D26+D9</f>
        <v>46.840000000000011</v>
      </c>
      <c r="K19" s="12">
        <f t="shared" ref="K19:K24" si="2">+I19-J19/100</f>
        <v>-5.0700000000000078E-2</v>
      </c>
      <c r="L19" s="64">
        <f>+D8+D18+D19+D20+D6+D26</f>
        <v>24.790000000000006</v>
      </c>
      <c r="M19" s="64">
        <f>+D4+D15+D17+D31+D5+D9</f>
        <v>12.09</v>
      </c>
      <c r="N19">
        <f>+D7+D10</f>
        <v>9.9600000000000009</v>
      </c>
      <c r="O19" s="57">
        <f t="shared" ref="O19:O24" si="3">+L19+M19+N19-J19</f>
        <v>0</v>
      </c>
    </row>
    <row r="20" spans="1:15" ht="27" x14ac:dyDescent="0.3">
      <c r="A20" s="5" t="s">
        <v>83</v>
      </c>
      <c r="B20" s="23" t="str">
        <f t="shared" si="0"/>
        <v>Cupones de emisión reajustables opcionales en dólares</v>
      </c>
      <c r="C20" s="39" t="s">
        <v>58</v>
      </c>
      <c r="D20" s="79">
        <v>0.03</v>
      </c>
      <c r="E20" s="51"/>
      <c r="F20" s="79"/>
      <c r="G20" s="16">
        <f t="shared" si="1"/>
        <v>-2.15</v>
      </c>
      <c r="H20" s="30" t="s">
        <v>22</v>
      </c>
      <c r="I20" s="9">
        <f>+'tipo y dur'!F6</f>
        <v>0.25600000000000001</v>
      </c>
      <c r="J20" s="57">
        <f>+D11+D12+D13+D16+D21+D22+D23+D30+D14</f>
        <v>27.75</v>
      </c>
      <c r="K20" s="12">
        <f t="shared" si="2"/>
        <v>-2.1500000000000019E-2</v>
      </c>
      <c r="L20" s="64">
        <f>+D12+D16+D22+D14</f>
        <v>24.67</v>
      </c>
      <c r="M20" s="64">
        <f>+D11+D21+D30</f>
        <v>0.25</v>
      </c>
      <c r="N20">
        <f>+D13+D23</f>
        <v>2.8299999999999996</v>
      </c>
      <c r="O20">
        <f t="shared" si="3"/>
        <v>0</v>
      </c>
    </row>
    <row r="21" spans="1:15" ht="15.75" x14ac:dyDescent="0.3">
      <c r="A21" s="5" t="s">
        <v>85</v>
      </c>
      <c r="B21" s="24" t="str">
        <f t="shared" si="0"/>
        <v>Bonos de Empresas Públicas y Privadas</v>
      </c>
      <c r="C21" s="39" t="s">
        <v>56</v>
      </c>
      <c r="D21" s="79">
        <v>0.12</v>
      </c>
      <c r="E21" s="52"/>
      <c r="F21" s="79"/>
      <c r="G21" s="16">
        <f t="shared" si="1"/>
        <v>7.2499999999999982</v>
      </c>
      <c r="H21" s="31" t="s">
        <v>23</v>
      </c>
      <c r="I21" s="9">
        <f>+'tipo y dur'!F7</f>
        <v>0.23649999999999999</v>
      </c>
      <c r="J21" s="57">
        <f>+D28+D29+D27</f>
        <v>16.399999999999999</v>
      </c>
      <c r="K21" s="12">
        <f t="shared" si="2"/>
        <v>7.2500000000000009E-2</v>
      </c>
      <c r="L21" s="64">
        <f>+D29</f>
        <v>7.3</v>
      </c>
      <c r="M21" s="64">
        <f>+D28+D27</f>
        <v>9.1</v>
      </c>
      <c r="O21">
        <f t="shared" si="3"/>
        <v>0</v>
      </c>
    </row>
    <row r="22" spans="1:15" ht="15.75" x14ac:dyDescent="0.3">
      <c r="A22" s="5" t="s">
        <v>85</v>
      </c>
      <c r="B22" s="24" t="str">
        <f t="shared" si="0"/>
        <v>Bonos de Empresas Públicas y Privadas</v>
      </c>
      <c r="C22" s="39" t="s">
        <v>58</v>
      </c>
      <c r="D22" s="79">
        <v>8.25</v>
      </c>
      <c r="E22" s="52"/>
      <c r="F22" s="79"/>
      <c r="G22" s="16">
        <f t="shared" si="1"/>
        <v>-0.10000000000000009</v>
      </c>
      <c r="H22" s="32" t="s">
        <v>24</v>
      </c>
      <c r="I22" s="9">
        <f>+'tipo y dur'!F8</f>
        <v>4.5999999999999999E-3</v>
      </c>
      <c r="J22" s="57">
        <f>+D24+D25</f>
        <v>0.56000000000000005</v>
      </c>
      <c r="K22" s="12">
        <f t="shared" si="2"/>
        <v>-1.0000000000000009E-3</v>
      </c>
      <c r="L22" s="64">
        <f>+D25+D24</f>
        <v>0.56000000000000005</v>
      </c>
      <c r="M22" s="64"/>
      <c r="O22">
        <f t="shared" si="3"/>
        <v>0</v>
      </c>
    </row>
    <row r="23" spans="1:15" ht="15.75" x14ac:dyDescent="0.3">
      <c r="A23" s="5" t="s">
        <v>85</v>
      </c>
      <c r="B23" s="24" t="str">
        <f t="shared" si="0"/>
        <v>Bonos de Empresas Públicas y Privadas</v>
      </c>
      <c r="C23" s="39" t="s">
        <v>57</v>
      </c>
      <c r="D23" s="79">
        <v>2.2599999999999998</v>
      </c>
      <c r="E23" s="52"/>
      <c r="F23" s="79"/>
      <c r="G23" s="16">
        <f t="shared" si="1"/>
        <v>4.49</v>
      </c>
      <c r="H23" s="8" t="s">
        <v>25</v>
      </c>
      <c r="I23" s="9">
        <f>+'tipo y dur'!F9</f>
        <v>4.4900000000000002E-2</v>
      </c>
      <c r="J23" s="57">
        <f>+I23*100</f>
        <v>4.49</v>
      </c>
      <c r="K23" s="12">
        <f t="shared" si="2"/>
        <v>0</v>
      </c>
      <c r="L23" s="64"/>
      <c r="M23" s="64"/>
      <c r="O23" s="57">
        <f t="shared" si="3"/>
        <v>-4.49</v>
      </c>
    </row>
    <row r="24" spans="1:15" ht="27.75" thickBot="1" x14ac:dyDescent="0.35">
      <c r="A24" s="5" t="s">
        <v>93</v>
      </c>
      <c r="B24" s="25" t="str">
        <f t="shared" si="0"/>
        <v>letras de crédito emitidas por Instituciones Financieras</v>
      </c>
      <c r="C24" s="39" t="s">
        <v>59</v>
      </c>
      <c r="D24" s="79">
        <v>0</v>
      </c>
      <c r="E24" s="54"/>
      <c r="F24" s="79"/>
      <c r="G24" s="16">
        <f t="shared" si="1"/>
        <v>0</v>
      </c>
      <c r="H24" s="33" t="s">
        <v>26</v>
      </c>
      <c r="I24" s="11">
        <f>+'tipo y dur'!F10</f>
        <v>4.0299999999999996E-2</v>
      </c>
      <c r="J24" s="57">
        <f>+D34+D36+D37+D38+D40+D41+D42+D43+D39+D35+D33</f>
        <v>1.83</v>
      </c>
      <c r="K24" s="12">
        <f t="shared" si="2"/>
        <v>2.1999999999999995E-2</v>
      </c>
      <c r="L24" s="64">
        <f>+D34</f>
        <v>0.01</v>
      </c>
      <c r="M24" s="64"/>
      <c r="N24">
        <f>+D33+D36+D37+D38+D40+D41+D42+D35+K24*100</f>
        <v>4.0199999999999996</v>
      </c>
      <c r="O24">
        <f t="shared" si="3"/>
        <v>2.1999999999999993</v>
      </c>
    </row>
    <row r="25" spans="1:15" ht="27" x14ac:dyDescent="0.3">
      <c r="A25" s="5" t="s">
        <v>93</v>
      </c>
      <c r="B25" s="25" t="str">
        <f t="shared" si="0"/>
        <v>letras de crédito emitidas por Instituciones Financieras</v>
      </c>
      <c r="C25" s="39" t="s">
        <v>58</v>
      </c>
      <c r="D25" s="79">
        <v>0.56000000000000005</v>
      </c>
      <c r="E25" s="54"/>
      <c r="F25" s="79"/>
      <c r="I25" s="13">
        <f>SUM(I19:I24)</f>
        <v>1</v>
      </c>
      <c r="J25" s="13">
        <f>SUM(J19:J24)/100</f>
        <v>0.97870000000000001</v>
      </c>
      <c r="K25" s="13">
        <f>SUM(K19:K24)</f>
        <v>2.1299999999999906E-2</v>
      </c>
    </row>
    <row r="26" spans="1:15" ht="15.75" x14ac:dyDescent="0.3">
      <c r="A26" s="5" t="s">
        <v>97</v>
      </c>
      <c r="B26" s="23" t="str">
        <f t="shared" si="0"/>
        <v>Pagarés reajustables con pago de cupones</v>
      </c>
      <c r="C26" s="39" t="s">
        <v>58</v>
      </c>
      <c r="D26" s="76">
        <v>0.01</v>
      </c>
      <c r="E26" s="51"/>
      <c r="F26" s="79"/>
      <c r="J26" s="58">
        <f>+SUM(D4:D43,J23)</f>
        <v>97.870000000000019</v>
      </c>
    </row>
    <row r="27" spans="1:15" ht="15.75" x14ac:dyDescent="0.3">
      <c r="B27" s="28" t="s">
        <v>103</v>
      </c>
      <c r="C27" s="66" t="s">
        <v>56</v>
      </c>
      <c r="D27" s="71">
        <v>0</v>
      </c>
      <c r="E27" s="53"/>
      <c r="J27" s="16">
        <f>+J26-J25*100</f>
        <v>0</v>
      </c>
    </row>
    <row r="28" spans="1:15" ht="27" x14ac:dyDescent="0.3">
      <c r="A28" s="5" t="s">
        <v>87</v>
      </c>
      <c r="B28" s="27" t="str">
        <f>+VLOOKUP(A28,$A$45:$B$64,2,0)</f>
        <v>Depósitos a plazo y pagarés emitidos por Instituciones Financieras</v>
      </c>
      <c r="C28" s="85" t="s">
        <v>56</v>
      </c>
      <c r="D28" s="79">
        <v>9.1</v>
      </c>
      <c r="E28" s="53"/>
    </row>
    <row r="29" spans="1:15" ht="27" x14ac:dyDescent="0.3">
      <c r="A29" s="5" t="s">
        <v>87</v>
      </c>
      <c r="B29" s="27" t="str">
        <f t="shared" ref="B29:B34" si="4">+VLOOKUP(A29,$A$45:$B$64,2,0)</f>
        <v>Depósitos a plazo y pagarés emitidos por Instituciones Financieras</v>
      </c>
      <c r="C29" s="39" t="s">
        <v>58</v>
      </c>
      <c r="D29" s="79">
        <v>7.3</v>
      </c>
      <c r="E29" s="53"/>
    </row>
    <row r="30" spans="1:15" ht="15.75" x14ac:dyDescent="0.3">
      <c r="A30" s="5" t="s">
        <v>91</v>
      </c>
      <c r="B30" s="24" t="str">
        <f t="shared" si="4"/>
        <v>Efectos de Comercio</v>
      </c>
      <c r="C30" s="39" t="s">
        <v>56</v>
      </c>
      <c r="D30" s="79">
        <v>0</v>
      </c>
      <c r="E30" s="52"/>
    </row>
    <row r="31" spans="1:15" ht="15.75" x14ac:dyDescent="0.3">
      <c r="A31" s="5" t="s">
        <v>95</v>
      </c>
      <c r="B31" s="23" t="str">
        <f t="shared" si="4"/>
        <v>Pagarés descontables del Banco Central</v>
      </c>
      <c r="C31" s="39" t="s">
        <v>56</v>
      </c>
      <c r="D31" s="71">
        <v>0</v>
      </c>
      <c r="E31" s="51"/>
    </row>
    <row r="32" spans="1:15" ht="15.75" x14ac:dyDescent="0.3">
      <c r="A32" s="5"/>
      <c r="B32" s="23"/>
      <c r="C32" s="244" t="s">
        <v>61</v>
      </c>
    </row>
    <row r="33" spans="1:5" ht="15.75" x14ac:dyDescent="0.3">
      <c r="A33" s="5" t="s">
        <v>69</v>
      </c>
      <c r="B33" s="26" t="str">
        <f t="shared" si="4"/>
        <v>Bonos emitidos por empresas extranjeras</v>
      </c>
      <c r="C33" s="244"/>
      <c r="D33" s="74">
        <v>0.02</v>
      </c>
      <c r="E33" s="55"/>
    </row>
    <row r="34" spans="1:5" ht="15.75" x14ac:dyDescent="0.3">
      <c r="A34" s="5" t="s">
        <v>69</v>
      </c>
      <c r="B34" s="26" t="str">
        <f t="shared" si="4"/>
        <v>Bonos emitidos por empresas extranjeras</v>
      </c>
      <c r="C34" s="39" t="s">
        <v>58</v>
      </c>
      <c r="D34" s="71">
        <v>0.01</v>
      </c>
      <c r="E34" s="55"/>
    </row>
    <row r="35" spans="1:5" ht="15.75" x14ac:dyDescent="0.3">
      <c r="A35" s="5" t="s">
        <v>69</v>
      </c>
      <c r="B35" s="26"/>
      <c r="C35" s="92" t="s">
        <v>164</v>
      </c>
      <c r="D35" s="70">
        <v>0.01</v>
      </c>
      <c r="E35" s="55"/>
    </row>
    <row r="36" spans="1:5" ht="27" x14ac:dyDescent="0.3">
      <c r="A36" s="5" t="s">
        <v>89</v>
      </c>
      <c r="B36" s="26" t="str">
        <f>+VLOOKUP(A36,$A$45:$B$64,2,0)</f>
        <v>Títulos de crédito emitidos por Estados extranjeros y Bancos Centrales extranjeros</v>
      </c>
      <c r="C36" s="39" t="s">
        <v>60</v>
      </c>
      <c r="D36" s="70">
        <v>0.01</v>
      </c>
      <c r="E36" s="55"/>
    </row>
    <row r="37" spans="1:5" ht="27" x14ac:dyDescent="0.3">
      <c r="A37" s="5" t="s">
        <v>89</v>
      </c>
      <c r="B37" s="26" t="str">
        <f>+VLOOKUP(A37,$A$45:$B$64,2,0)</f>
        <v>Títulos de crédito emitidos por Estados extranjeros y Bancos Centrales extranjeros</v>
      </c>
      <c r="C37" s="39" t="s">
        <v>61</v>
      </c>
      <c r="D37" s="71">
        <v>1.29</v>
      </c>
      <c r="E37" s="55"/>
    </row>
    <row r="38" spans="1:5" ht="27" x14ac:dyDescent="0.3">
      <c r="A38" s="5" t="s">
        <v>89</v>
      </c>
      <c r="B38" s="26" t="str">
        <f>+VLOOKUP(A38,$A$45:$B$64,2,0)</f>
        <v>Títulos de crédito emitidos por Estados extranjeros y Bancos Centrales extranjeros</v>
      </c>
      <c r="C38" s="39" t="s">
        <v>57</v>
      </c>
      <c r="D38" s="71">
        <v>0.49</v>
      </c>
      <c r="E38" s="55"/>
    </row>
    <row r="39" spans="1:5" ht="15.75" x14ac:dyDescent="0.3">
      <c r="A39" s="5" t="s">
        <v>89</v>
      </c>
      <c r="B39" s="26"/>
      <c r="C39" s="82" t="s">
        <v>163</v>
      </c>
      <c r="D39" s="71">
        <v>0</v>
      </c>
      <c r="E39" s="55"/>
    </row>
    <row r="40" spans="1:5" ht="27" x14ac:dyDescent="0.3">
      <c r="A40" s="5" t="s">
        <v>99</v>
      </c>
      <c r="B40" s="26" t="str">
        <f>+VLOOKUP(A40,$A$45:$B$64,2,0)</f>
        <v>Títulos de crédito de renta fija emitidos por entidades bancarias extranjeras</v>
      </c>
      <c r="C40" s="39" t="s">
        <v>60</v>
      </c>
      <c r="D40" s="71">
        <v>0</v>
      </c>
      <c r="E40" s="55"/>
    </row>
    <row r="41" spans="1:5" ht="27.75" thickBot="1" x14ac:dyDescent="0.35">
      <c r="A41" s="5" t="s">
        <v>99</v>
      </c>
      <c r="B41" s="26" t="str">
        <f>+VLOOKUP(A41,$A$45:$B$64,2,0)</f>
        <v>Títulos de crédito de renta fija emitidos por entidades bancarias extranjeras</v>
      </c>
      <c r="C41" s="39" t="s">
        <v>61</v>
      </c>
      <c r="D41" s="62">
        <v>0</v>
      </c>
      <c r="E41" s="55"/>
    </row>
    <row r="42" spans="1:5" ht="27" x14ac:dyDescent="0.3">
      <c r="A42" s="5" t="s">
        <v>99</v>
      </c>
      <c r="B42" s="26" t="str">
        <f>+VLOOKUP(A42,$A$45:$B$64,2,0)</f>
        <v>Títulos de crédito de renta fija emitidos por entidades bancarias extranjeras</v>
      </c>
      <c r="C42" s="39" t="s">
        <v>57</v>
      </c>
      <c r="E42" s="55"/>
    </row>
    <row r="43" spans="1:5" ht="27.75" thickBot="1" x14ac:dyDescent="0.35">
      <c r="A43" s="17" t="s">
        <v>101</v>
      </c>
      <c r="B43" s="26" t="str">
        <f>+VLOOKUP(A43,$A$45:$B$64,2,0)</f>
        <v>Títulos de crédito emitidos por entidades bancarias internacionales</v>
      </c>
      <c r="C43" s="18" t="s">
        <v>62</v>
      </c>
      <c r="D43" s="62">
        <v>0</v>
      </c>
      <c r="E43" s="55"/>
    </row>
    <row r="45" spans="1:5" ht="27" x14ac:dyDescent="0.25">
      <c r="A45" s="21" t="s">
        <v>63</v>
      </c>
      <c r="B45" s="22" t="s">
        <v>64</v>
      </c>
    </row>
    <row r="46" spans="1:5" ht="27" x14ac:dyDescent="0.25">
      <c r="A46" s="21" t="s">
        <v>65</v>
      </c>
      <c r="B46" s="22" t="s">
        <v>66</v>
      </c>
    </row>
    <row r="47" spans="1:5" ht="27" x14ac:dyDescent="0.25">
      <c r="A47" s="21" t="s">
        <v>67</v>
      </c>
      <c r="B47" s="22" t="s">
        <v>68</v>
      </c>
    </row>
    <row r="48" spans="1:5" x14ac:dyDescent="0.25">
      <c r="A48" s="21" t="s">
        <v>69</v>
      </c>
      <c r="B48" s="22" t="s">
        <v>70</v>
      </c>
    </row>
    <row r="49" spans="1:2" ht="27" x14ac:dyDescent="0.25">
      <c r="A49" s="21" t="s">
        <v>71</v>
      </c>
      <c r="B49" s="22" t="s">
        <v>72</v>
      </c>
    </row>
    <row r="50" spans="1:2" ht="27" x14ac:dyDescent="0.25">
      <c r="A50" s="21" t="s">
        <v>73</v>
      </c>
      <c r="B50" s="22" t="s">
        <v>74</v>
      </c>
    </row>
    <row r="51" spans="1:2" ht="27" x14ac:dyDescent="0.25">
      <c r="A51" s="21" t="s">
        <v>75</v>
      </c>
      <c r="B51" s="22" t="s">
        <v>76</v>
      </c>
    </row>
    <row r="52" spans="1:2" ht="27" x14ac:dyDescent="0.25">
      <c r="A52" s="21" t="s">
        <v>77</v>
      </c>
      <c r="B52" s="22" t="s">
        <v>78</v>
      </c>
    </row>
    <row r="53" spans="1:2" ht="27" x14ac:dyDescent="0.25">
      <c r="A53" s="21" t="s">
        <v>79</v>
      </c>
      <c r="B53" s="22" t="s">
        <v>80</v>
      </c>
    </row>
    <row r="54" spans="1:2" x14ac:dyDescent="0.25">
      <c r="A54" s="21" t="s">
        <v>81</v>
      </c>
      <c r="B54" s="22" t="s">
        <v>82</v>
      </c>
    </row>
    <row r="55" spans="1:2" ht="27" x14ac:dyDescent="0.25">
      <c r="A55" s="21" t="s">
        <v>83</v>
      </c>
      <c r="B55" s="22" t="s">
        <v>84</v>
      </c>
    </row>
    <row r="56" spans="1:2" x14ac:dyDescent="0.25">
      <c r="A56" s="21" t="s">
        <v>85</v>
      </c>
      <c r="B56" s="22" t="s">
        <v>86</v>
      </c>
    </row>
    <row r="57" spans="1:2" ht="27" x14ac:dyDescent="0.25">
      <c r="A57" s="21" t="s">
        <v>87</v>
      </c>
      <c r="B57" s="22" t="s">
        <v>88</v>
      </c>
    </row>
    <row r="58" spans="1:2" ht="27" x14ac:dyDescent="0.25">
      <c r="A58" s="21" t="s">
        <v>89</v>
      </c>
      <c r="B58" s="22" t="s">
        <v>90</v>
      </c>
    </row>
    <row r="59" spans="1:2" x14ac:dyDescent="0.25">
      <c r="A59" s="21" t="s">
        <v>91</v>
      </c>
      <c r="B59" s="22" t="s">
        <v>92</v>
      </c>
    </row>
    <row r="60" spans="1:2" ht="27" x14ac:dyDescent="0.25">
      <c r="A60" s="21" t="s">
        <v>93</v>
      </c>
      <c r="B60" s="22" t="s">
        <v>94</v>
      </c>
    </row>
    <row r="61" spans="1:2" x14ac:dyDescent="0.25">
      <c r="A61" s="21" t="s">
        <v>95</v>
      </c>
      <c r="B61" s="22" t="s">
        <v>96</v>
      </c>
    </row>
    <row r="62" spans="1:2" x14ac:dyDescent="0.25">
      <c r="A62" s="21" t="s">
        <v>97</v>
      </c>
      <c r="B62" s="22" t="s">
        <v>98</v>
      </c>
    </row>
    <row r="63" spans="1:2" ht="27" x14ac:dyDescent="0.25">
      <c r="A63" s="21" t="s">
        <v>99</v>
      </c>
      <c r="B63" s="22" t="s">
        <v>100</v>
      </c>
    </row>
    <row r="64" spans="1:2" ht="27" x14ac:dyDescent="0.25">
      <c r="A64" s="21" t="s">
        <v>101</v>
      </c>
      <c r="B64" s="22" t="s">
        <v>102</v>
      </c>
    </row>
    <row r="65" spans="1:2" x14ac:dyDescent="0.25">
      <c r="A65" s="21" t="s">
        <v>127</v>
      </c>
      <c r="B65" s="22" t="s">
        <v>128</v>
      </c>
    </row>
    <row r="66" spans="1:2" x14ac:dyDescent="0.25">
      <c r="A66" s="21" t="s">
        <v>153</v>
      </c>
      <c r="B66" s="22" t="s">
        <v>154</v>
      </c>
    </row>
  </sheetData>
  <autoFilter ref="A3:D43"/>
  <mergeCells count="4">
    <mergeCell ref="C32:C33"/>
    <mergeCell ref="A1:A2"/>
    <mergeCell ref="C1:C2"/>
    <mergeCell ref="C3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27"/>
  <sheetViews>
    <sheetView workbookViewId="0">
      <selection activeCell="H25" sqref="H25"/>
    </sheetView>
  </sheetViews>
  <sheetFormatPr baseColWidth="10" defaultRowHeight="15" x14ac:dyDescent="0.25"/>
  <cols>
    <col min="1" max="1" width="16.140625" customWidth="1"/>
  </cols>
  <sheetData>
    <row r="1" spans="1:6" ht="15.75" thickBot="1" x14ac:dyDescent="0.3">
      <c r="A1" s="68" t="s">
        <v>122</v>
      </c>
    </row>
    <row r="2" spans="1:6" ht="15.75" thickBot="1" x14ac:dyDescent="0.3">
      <c r="A2" s="219" t="s">
        <v>107</v>
      </c>
      <c r="B2" s="3" t="s">
        <v>108</v>
      </c>
    </row>
    <row r="3" spans="1:6" ht="15.75" thickBot="1" x14ac:dyDescent="0.3">
      <c r="A3" s="220"/>
      <c r="B3" s="3" t="s">
        <v>109</v>
      </c>
      <c r="C3" t="s">
        <v>130</v>
      </c>
      <c r="D3" t="s">
        <v>162</v>
      </c>
      <c r="E3" t="s">
        <v>161</v>
      </c>
    </row>
    <row r="4" spans="1:6" ht="15.75" x14ac:dyDescent="0.3">
      <c r="A4" s="4" t="s">
        <v>110</v>
      </c>
      <c r="B4" s="70">
        <v>56.25</v>
      </c>
      <c r="D4" s="12">
        <v>0.59599999999999997</v>
      </c>
      <c r="E4" s="12">
        <v>0.58260000000000001</v>
      </c>
      <c r="F4" s="12">
        <f>+D4-E4</f>
        <v>1.3399999999999967E-2</v>
      </c>
    </row>
    <row r="5" spans="1:6" ht="15.75" x14ac:dyDescent="0.3">
      <c r="A5" s="4" t="s">
        <v>111</v>
      </c>
      <c r="B5" s="70">
        <v>15.2</v>
      </c>
      <c r="D5" s="12">
        <v>0.16930000000000001</v>
      </c>
      <c r="E5" s="12">
        <v>0.1497</v>
      </c>
      <c r="F5" s="12">
        <f t="shared" ref="F5:F10" si="0">+D5-E5</f>
        <v>1.9600000000000006E-2</v>
      </c>
    </row>
    <row r="6" spans="1:6" ht="15.75" x14ac:dyDescent="0.3">
      <c r="A6" s="4" t="s">
        <v>112</v>
      </c>
      <c r="B6" s="70">
        <v>2.2000000000000002</v>
      </c>
      <c r="D6" s="12">
        <v>3.1699999999999999E-2</v>
      </c>
      <c r="E6" s="12">
        <v>3.5400000000000001E-2</v>
      </c>
      <c r="F6" s="12">
        <f t="shared" si="0"/>
        <v>-3.7000000000000019E-3</v>
      </c>
    </row>
    <row r="7" spans="1:6" ht="15.75" x14ac:dyDescent="0.3">
      <c r="A7" s="4" t="s">
        <v>113</v>
      </c>
      <c r="B7" s="70">
        <v>1.75</v>
      </c>
      <c r="D7" s="12">
        <v>1.66E-2</v>
      </c>
      <c r="E7" s="12">
        <v>1.34E-2</v>
      </c>
      <c r="F7" s="12">
        <f t="shared" si="0"/>
        <v>3.1999999999999997E-3</v>
      </c>
    </row>
    <row r="8" spans="1:6" ht="15.75" x14ac:dyDescent="0.3">
      <c r="A8" s="4" t="s">
        <v>129</v>
      </c>
      <c r="B8" s="70">
        <v>0</v>
      </c>
      <c r="D8" s="12">
        <f>+B8/100</f>
        <v>0</v>
      </c>
      <c r="E8" s="12">
        <v>0</v>
      </c>
      <c r="F8" s="12">
        <f t="shared" si="0"/>
        <v>0</v>
      </c>
    </row>
    <row r="9" spans="1:6" ht="15.75" x14ac:dyDescent="0.3">
      <c r="A9" s="4" t="s">
        <v>158</v>
      </c>
      <c r="B9" s="86">
        <v>0</v>
      </c>
      <c r="D9" s="12">
        <f>+B9/100</f>
        <v>0</v>
      </c>
      <c r="E9" s="12">
        <v>0</v>
      </c>
      <c r="F9" s="12">
        <f t="shared" si="0"/>
        <v>0</v>
      </c>
    </row>
    <row r="10" spans="1:6" ht="15.75" x14ac:dyDescent="0.3">
      <c r="A10" s="4" t="s">
        <v>123</v>
      </c>
      <c r="B10" s="63">
        <v>0</v>
      </c>
      <c r="D10" s="12">
        <f>+B10/100</f>
        <v>0</v>
      </c>
      <c r="E10" s="12">
        <v>0</v>
      </c>
      <c r="F10" s="12">
        <f t="shared" si="0"/>
        <v>0</v>
      </c>
    </row>
    <row r="11" spans="1:6" ht="15.75" x14ac:dyDescent="0.3">
      <c r="A11" s="4" t="s">
        <v>117</v>
      </c>
      <c r="B11" s="87">
        <v>16.399999999999999</v>
      </c>
      <c r="D11" s="12">
        <f>+B11/100</f>
        <v>0.16399999999999998</v>
      </c>
      <c r="E11" s="12">
        <v>0.14699999999999999</v>
      </c>
      <c r="F11" s="12"/>
    </row>
    <row r="12" spans="1:6" ht="15.75" x14ac:dyDescent="0.3">
      <c r="A12" s="69" t="s">
        <v>25</v>
      </c>
      <c r="B12" s="86">
        <v>4.9000000000000004</v>
      </c>
      <c r="D12" s="12">
        <f>+B12/100</f>
        <v>4.9000000000000002E-2</v>
      </c>
      <c r="E12">
        <v>7.2000000000000008E-2</v>
      </c>
    </row>
    <row r="13" spans="1:6" ht="15.75" x14ac:dyDescent="0.3">
      <c r="A13" s="69" t="s">
        <v>26</v>
      </c>
      <c r="B13" s="125">
        <v>3.3</v>
      </c>
      <c r="D13" s="12">
        <v>1.8599999999999998E-2</v>
      </c>
      <c r="E13" s="13">
        <v>0.9709000000000001</v>
      </c>
    </row>
    <row r="14" spans="1:6" x14ac:dyDescent="0.25">
      <c r="D14" s="12">
        <f>SUM(D4:D13)</f>
        <v>1.0451999999999997</v>
      </c>
      <c r="E14" s="13">
        <v>1.9709000000000001</v>
      </c>
    </row>
    <row r="27" ht="16.5" customHeight="1" x14ac:dyDescent="0.25"/>
  </sheetData>
  <mergeCells count="1">
    <mergeCell ref="A2:A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6:M20"/>
  <sheetViews>
    <sheetView workbookViewId="0">
      <selection activeCell="J36" sqref="J36"/>
    </sheetView>
  </sheetViews>
  <sheetFormatPr baseColWidth="10" defaultRowHeight="15" x14ac:dyDescent="0.25"/>
  <cols>
    <col min="3" max="3" width="20.7109375" bestFit="1" customWidth="1"/>
  </cols>
  <sheetData>
    <row r="6" spans="3:13" ht="15.75" x14ac:dyDescent="0.3">
      <c r="D6" s="247" t="s">
        <v>115</v>
      </c>
      <c r="E6" s="248"/>
      <c r="F6" s="249"/>
      <c r="G6" s="247" t="s">
        <v>116</v>
      </c>
      <c r="H6" s="248"/>
      <c r="I6" s="249"/>
      <c r="M6" s="60"/>
    </row>
    <row r="7" spans="3:13" x14ac:dyDescent="0.25">
      <c r="D7" s="42" t="s">
        <v>58</v>
      </c>
      <c r="E7" s="42" t="s">
        <v>104</v>
      </c>
      <c r="F7" s="42" t="s">
        <v>105</v>
      </c>
      <c r="G7" s="42" t="s">
        <v>58</v>
      </c>
      <c r="H7" s="42" t="s">
        <v>104</v>
      </c>
      <c r="I7" s="42" t="s">
        <v>105</v>
      </c>
    </row>
    <row r="8" spans="3:13" x14ac:dyDescent="0.25">
      <c r="C8" s="43" t="s">
        <v>21</v>
      </c>
      <c r="D8" s="44">
        <f>+IF(moneda!L19/100=0,"",moneda!L19/100)</f>
        <v>0.24790000000000006</v>
      </c>
      <c r="E8" s="44">
        <f>+IF(moneda!M19/100=0,"",moneda!M19/100)</f>
        <v>0.12089999999999999</v>
      </c>
      <c r="F8" s="44">
        <f>+IF(moneda!N19/100=0,"",moneda!N19/100)</f>
        <v>9.9600000000000008E-2</v>
      </c>
      <c r="G8" s="44">
        <v>0.48930000000000001</v>
      </c>
      <c r="H8" s="44">
        <v>0.1128</v>
      </c>
      <c r="I8" s="44"/>
    </row>
    <row r="9" spans="3:13" x14ac:dyDescent="0.25">
      <c r="C9" s="45" t="s">
        <v>22</v>
      </c>
      <c r="D9" s="46">
        <f>+IF(moneda!L20/100=0,"",moneda!L20/100)</f>
        <v>0.24670000000000003</v>
      </c>
      <c r="E9" s="46">
        <f>+IF(moneda!M20/100=0,"",moneda!M20/100)</f>
        <v>2.5000000000000001E-3</v>
      </c>
      <c r="F9" s="46">
        <f>+IF(moneda!N20/100=0,"",moneda!N20/100)</f>
        <v>2.8299999999999995E-2</v>
      </c>
      <c r="G9" s="46">
        <v>0.3881</v>
      </c>
      <c r="H9" s="46">
        <v>5.8700000000000002E-2</v>
      </c>
      <c r="I9" s="46"/>
    </row>
    <row r="10" spans="3:13" x14ac:dyDescent="0.25">
      <c r="C10" s="45" t="s">
        <v>23</v>
      </c>
      <c r="D10" s="46">
        <f>+IF(moneda!L21/100=0,"",moneda!L21/100)</f>
        <v>7.2999999999999995E-2</v>
      </c>
      <c r="E10" s="46">
        <f>+IF(moneda!M21/100=0,"",moneda!M21/100)</f>
        <v>9.0999999999999998E-2</v>
      </c>
      <c r="F10" s="46" t="str">
        <f>+IF(moneda!N21/100=0,"",moneda!N21/100)</f>
        <v/>
      </c>
      <c r="G10" s="46">
        <v>0.13200000000000001</v>
      </c>
      <c r="H10" s="46">
        <v>0.01</v>
      </c>
      <c r="I10" s="46"/>
    </row>
    <row r="11" spans="3:13" x14ac:dyDescent="0.25">
      <c r="C11" s="45" t="s">
        <v>24</v>
      </c>
      <c r="D11" s="46">
        <f>+IF(moneda!L22/100=0,"",moneda!L22/100)</f>
        <v>5.6000000000000008E-3</v>
      </c>
      <c r="E11" s="46" t="str">
        <f>+IF(moneda!M22/100=0,"",moneda!M22/100)</f>
        <v/>
      </c>
      <c r="F11" s="46" t="str">
        <f>+IF(moneda!N22/100=0,"",moneda!N22/100)</f>
        <v/>
      </c>
      <c r="G11" s="46"/>
      <c r="H11" s="46"/>
      <c r="I11" s="46"/>
    </row>
    <row r="12" spans="3:13" x14ac:dyDescent="0.25">
      <c r="C12" s="47" t="s">
        <v>26</v>
      </c>
      <c r="D12" s="48">
        <f>+IF(moneda!L24/100=0,"",moneda!L24/100)</f>
        <v>1E-4</v>
      </c>
      <c r="E12" s="48" t="str">
        <f>+IF(moneda!M24/100=0,"",moneda!M24/100)</f>
        <v/>
      </c>
      <c r="F12" s="48">
        <f>+IF(moneda!N24/100=0,"",moneda!N24/100)</f>
        <v>4.0199999999999993E-2</v>
      </c>
      <c r="G12" s="48"/>
      <c r="H12" s="48"/>
      <c r="I12" s="48"/>
    </row>
    <row r="13" spans="3:13" x14ac:dyDescent="0.25">
      <c r="C13" s="49"/>
      <c r="D13" s="9">
        <f>+SUM(D8:D12)</f>
        <v>0.57330000000000014</v>
      </c>
      <c r="E13" s="9">
        <f>+SUM(E8:E12)</f>
        <v>0.21439999999999998</v>
      </c>
      <c r="F13" s="9"/>
      <c r="I13" s="9"/>
    </row>
    <row r="14" spans="3:13" x14ac:dyDescent="0.25">
      <c r="D14" s="9">
        <f>+D13/SUM(D13:E13)</f>
        <v>0.72781515805509722</v>
      </c>
      <c r="E14" s="9">
        <f>+E13/SUM(D13:E13)</f>
        <v>0.27218484194490283</v>
      </c>
      <c r="G14" s="9">
        <f>+SUM(G8:G12)</f>
        <v>1.0093999999999999</v>
      </c>
      <c r="H14" s="9">
        <f>+SUM(H8:H12)</f>
        <v>0.18149999999999999</v>
      </c>
    </row>
    <row r="16" spans="3:13" ht="15.75" x14ac:dyDescent="0.3">
      <c r="D16" s="247" t="s">
        <v>115</v>
      </c>
      <c r="E16" s="248"/>
      <c r="F16" s="249"/>
      <c r="G16" s="247" t="s">
        <v>116</v>
      </c>
      <c r="H16" s="248"/>
      <c r="I16" s="249"/>
    </row>
    <row r="17" spans="3:9" x14ac:dyDescent="0.25">
      <c r="D17" s="42" t="s">
        <v>58</v>
      </c>
      <c r="E17" s="42" t="s">
        <v>104</v>
      </c>
      <c r="G17" s="42" t="s">
        <v>58</v>
      </c>
      <c r="H17" s="42" t="s">
        <v>104</v>
      </c>
    </row>
    <row r="18" spans="3:9" x14ac:dyDescent="0.25">
      <c r="C18" s="43" t="s">
        <v>21</v>
      </c>
      <c r="D18" s="9">
        <f>+D8/SUM($D8:$F8)</f>
        <v>0.52924850555081127</v>
      </c>
      <c r="E18" s="9">
        <f t="shared" ref="D18:E20" si="0">+E8/SUM($D8:$F8)</f>
        <v>0.25811272416737824</v>
      </c>
      <c r="F18" s="9"/>
      <c r="G18" s="9">
        <f t="shared" ref="G18:H20" si="1">+G8/SUM($G8:$H8)</f>
        <v>0.81265570503238671</v>
      </c>
      <c r="H18" s="9">
        <f t="shared" si="1"/>
        <v>0.18734429496761335</v>
      </c>
      <c r="I18" s="50"/>
    </row>
    <row r="19" spans="3:9" x14ac:dyDescent="0.25">
      <c r="C19" s="45" t="s">
        <v>22</v>
      </c>
      <c r="D19" s="9">
        <f>+D9/SUM($D9:$F9)</f>
        <v>0.88900900900900903</v>
      </c>
      <c r="E19" s="9">
        <f>+E9/SUM($D9:$F9)</f>
        <v>9.0090090090090089E-3</v>
      </c>
      <c r="F19" s="9"/>
      <c r="G19" s="9">
        <f t="shared" si="1"/>
        <v>0.86862130707251572</v>
      </c>
      <c r="H19" s="9">
        <f t="shared" si="1"/>
        <v>0.13137869292748436</v>
      </c>
      <c r="I19" s="50"/>
    </row>
    <row r="20" spans="3:9" x14ac:dyDescent="0.25">
      <c r="C20" s="45" t="s">
        <v>23</v>
      </c>
      <c r="D20" s="9">
        <f t="shared" si="0"/>
        <v>0.4451219512195122</v>
      </c>
      <c r="E20" s="9">
        <f t="shared" si="0"/>
        <v>0.55487804878048785</v>
      </c>
      <c r="F20" s="9"/>
      <c r="G20" s="9">
        <f t="shared" si="1"/>
        <v>0.92957746478873238</v>
      </c>
      <c r="H20" s="9">
        <f t="shared" si="1"/>
        <v>7.0422535211267595E-2</v>
      </c>
      <c r="I20" s="50"/>
    </row>
  </sheetData>
  <mergeCells count="4">
    <mergeCell ref="D6:F6"/>
    <mergeCell ref="G6:I6"/>
    <mergeCell ref="D16:F16"/>
    <mergeCell ref="G16:I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O40"/>
  <sheetViews>
    <sheetView workbookViewId="0">
      <selection activeCell="F37" sqref="F37"/>
    </sheetView>
  </sheetViews>
  <sheetFormatPr baseColWidth="10" defaultRowHeight="15" x14ac:dyDescent="0.25"/>
  <sheetData>
    <row r="1" spans="1:15" ht="27" x14ac:dyDescent="0.3">
      <c r="B1" s="34" t="s">
        <v>148</v>
      </c>
      <c r="C1" s="245" t="s">
        <v>56</v>
      </c>
      <c r="D1" s="233">
        <v>0.01</v>
      </c>
      <c r="E1" s="233">
        <v>4.09</v>
      </c>
      <c r="F1" s="233">
        <v>0.39</v>
      </c>
      <c r="G1" s="233">
        <v>4.0999999999999996</v>
      </c>
      <c r="H1" s="233">
        <v>0.45</v>
      </c>
      <c r="I1" s="233">
        <v>4.1100000000000003</v>
      </c>
      <c r="J1" s="233">
        <v>0.97</v>
      </c>
      <c r="K1" s="233">
        <v>4.1100000000000003</v>
      </c>
      <c r="L1" s="233">
        <v>1.77</v>
      </c>
      <c r="M1" s="233">
        <v>4.1399999999999997</v>
      </c>
      <c r="N1" s="233">
        <v>0.65</v>
      </c>
      <c r="O1" s="242">
        <v>4.12</v>
      </c>
    </row>
    <row r="2" spans="1:15" ht="15.75" x14ac:dyDescent="0.3">
      <c r="A2" s="5" t="s">
        <v>63</v>
      </c>
      <c r="B2" s="5" t="s">
        <v>29</v>
      </c>
      <c r="C2" s="246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43"/>
    </row>
    <row r="3" spans="1:15" ht="15.75" x14ac:dyDescent="0.3">
      <c r="A3" s="5" t="s">
        <v>65</v>
      </c>
      <c r="B3" s="5" t="s">
        <v>41</v>
      </c>
      <c r="C3" s="95" t="s">
        <v>56</v>
      </c>
      <c r="D3" s="94">
        <v>0</v>
      </c>
      <c r="E3" s="94">
        <v>7.33</v>
      </c>
      <c r="F3" s="94">
        <v>0</v>
      </c>
      <c r="G3" s="94">
        <v>7.33</v>
      </c>
      <c r="H3" s="94">
        <v>0</v>
      </c>
      <c r="I3" s="94">
        <v>7.33</v>
      </c>
      <c r="J3" s="94">
        <v>0</v>
      </c>
      <c r="K3" s="94">
        <v>7.33</v>
      </c>
      <c r="L3" s="94">
        <v>0.02</v>
      </c>
      <c r="M3" s="94">
        <v>6.76</v>
      </c>
      <c r="N3" s="94">
        <v>0</v>
      </c>
      <c r="O3" s="93">
        <v>6.99</v>
      </c>
    </row>
    <row r="4" spans="1:15" ht="15.75" x14ac:dyDescent="0.3">
      <c r="A4" s="5" t="s">
        <v>65</v>
      </c>
      <c r="B4" s="5" t="s">
        <v>41</v>
      </c>
      <c r="C4" s="95" t="s">
        <v>58</v>
      </c>
      <c r="D4" s="94">
        <v>0.03</v>
      </c>
      <c r="E4" s="94">
        <v>3.22</v>
      </c>
      <c r="F4" s="94">
        <v>0.04</v>
      </c>
      <c r="G4" s="94">
        <v>4.16</v>
      </c>
      <c r="H4" s="94">
        <v>0.06</v>
      </c>
      <c r="I4" s="94">
        <v>3.68</v>
      </c>
      <c r="J4" s="94">
        <v>0.05</v>
      </c>
      <c r="K4" s="94">
        <v>3.66</v>
      </c>
      <c r="L4" s="94">
        <v>0.03</v>
      </c>
      <c r="M4" s="94">
        <v>3.56</v>
      </c>
      <c r="N4" s="94">
        <v>0.04</v>
      </c>
      <c r="O4" s="93">
        <v>3.68</v>
      </c>
    </row>
    <row r="5" spans="1:15" ht="15.75" x14ac:dyDescent="0.3">
      <c r="A5" s="5" t="s">
        <v>65</v>
      </c>
      <c r="B5" s="5" t="s">
        <v>41</v>
      </c>
      <c r="C5" s="95" t="s">
        <v>57</v>
      </c>
      <c r="D5" s="94">
        <v>0</v>
      </c>
      <c r="E5" s="94">
        <v>6.1</v>
      </c>
      <c r="F5" s="94">
        <v>0</v>
      </c>
      <c r="G5" s="94">
        <v>6.1</v>
      </c>
      <c r="H5" s="94">
        <v>0</v>
      </c>
      <c r="I5" s="94">
        <v>6.1</v>
      </c>
      <c r="J5" s="94">
        <v>0</v>
      </c>
      <c r="K5" s="94">
        <v>6.1</v>
      </c>
      <c r="L5" s="94">
        <v>0</v>
      </c>
      <c r="M5" s="94">
        <v>6.1</v>
      </c>
      <c r="N5" s="94">
        <v>0</v>
      </c>
      <c r="O5" s="93">
        <v>6.1</v>
      </c>
    </row>
    <row r="6" spans="1:15" ht="15.75" x14ac:dyDescent="0.3">
      <c r="A6" s="5" t="s">
        <v>67</v>
      </c>
      <c r="B6" s="5" t="s">
        <v>30</v>
      </c>
      <c r="C6" s="95" t="s">
        <v>58</v>
      </c>
      <c r="D6" s="94">
        <v>0.31</v>
      </c>
      <c r="E6" s="94">
        <v>1.59</v>
      </c>
      <c r="F6" s="94">
        <v>3.27</v>
      </c>
      <c r="G6" s="94">
        <v>1.47</v>
      </c>
      <c r="H6" s="94">
        <v>5.35</v>
      </c>
      <c r="I6" s="94">
        <v>1.53</v>
      </c>
      <c r="J6" s="94">
        <v>8.34</v>
      </c>
      <c r="K6" s="94">
        <v>1.49</v>
      </c>
      <c r="L6" s="94">
        <v>12.61</v>
      </c>
      <c r="M6" s="94">
        <v>1.45</v>
      </c>
      <c r="N6" s="94">
        <v>5.74</v>
      </c>
      <c r="O6" s="93">
        <v>1.49</v>
      </c>
    </row>
    <row r="7" spans="1:15" ht="15.75" x14ac:dyDescent="0.3">
      <c r="A7" s="5" t="s">
        <v>127</v>
      </c>
      <c r="B7" s="5" t="s">
        <v>126</v>
      </c>
      <c r="C7" s="95" t="s">
        <v>166</v>
      </c>
      <c r="D7" s="94" t="s">
        <v>139</v>
      </c>
      <c r="E7" s="94" t="s">
        <v>139</v>
      </c>
      <c r="F7" s="94" t="s">
        <v>139</v>
      </c>
      <c r="G7" s="94" t="s">
        <v>139</v>
      </c>
      <c r="H7" s="94">
        <v>0.01</v>
      </c>
      <c r="I7" s="94">
        <v>1.63</v>
      </c>
      <c r="J7" s="94">
        <v>0.01</v>
      </c>
      <c r="K7" s="94">
        <v>1.63</v>
      </c>
      <c r="L7" s="94">
        <v>0.01</v>
      </c>
      <c r="M7" s="94">
        <v>1.63</v>
      </c>
      <c r="N7" s="94">
        <v>0.01</v>
      </c>
      <c r="O7" s="93">
        <v>1.63</v>
      </c>
    </row>
    <row r="8" spans="1:15" ht="15.75" x14ac:dyDescent="0.3">
      <c r="A8" s="5" t="s">
        <v>71</v>
      </c>
      <c r="B8" s="5" t="s">
        <v>126</v>
      </c>
      <c r="C8" s="95" t="s">
        <v>56</v>
      </c>
      <c r="D8" s="94" t="s">
        <v>139</v>
      </c>
      <c r="E8" s="94" t="s">
        <v>139</v>
      </c>
      <c r="F8" s="94" t="s">
        <v>139</v>
      </c>
      <c r="G8" s="94" t="s">
        <v>139</v>
      </c>
      <c r="H8" s="94">
        <v>0.01</v>
      </c>
      <c r="I8" s="94">
        <v>4.6100000000000003</v>
      </c>
      <c r="J8" s="94" t="s">
        <v>139</v>
      </c>
      <c r="K8" s="94" t="s">
        <v>139</v>
      </c>
      <c r="L8" s="94">
        <v>0</v>
      </c>
      <c r="M8" s="94">
        <v>4.6100000000000003</v>
      </c>
      <c r="N8" s="94">
        <v>0</v>
      </c>
      <c r="O8" s="93">
        <v>4.6100000000000003</v>
      </c>
    </row>
    <row r="9" spans="1:15" ht="15.75" x14ac:dyDescent="0.3">
      <c r="A9" s="5" t="s">
        <v>71</v>
      </c>
      <c r="B9" s="5" t="s">
        <v>126</v>
      </c>
      <c r="C9" s="95" t="s">
        <v>57</v>
      </c>
      <c r="D9" s="94" t="s">
        <v>139</v>
      </c>
      <c r="E9" s="94" t="s">
        <v>139</v>
      </c>
      <c r="F9" s="94">
        <v>0.01</v>
      </c>
      <c r="G9" s="94">
        <v>3.22</v>
      </c>
      <c r="H9" s="94">
        <v>0.1</v>
      </c>
      <c r="I9" s="94">
        <v>3.08</v>
      </c>
      <c r="J9" s="94">
        <v>0.13</v>
      </c>
      <c r="K9" s="94">
        <v>3.06</v>
      </c>
      <c r="L9" s="94">
        <v>0.19</v>
      </c>
      <c r="M9" s="94">
        <v>3.09</v>
      </c>
      <c r="N9" s="94">
        <v>0.09</v>
      </c>
      <c r="O9" s="93">
        <v>3.08</v>
      </c>
    </row>
    <row r="10" spans="1:15" ht="15.75" x14ac:dyDescent="0.3">
      <c r="A10" s="5" t="s">
        <v>71</v>
      </c>
      <c r="B10" s="5" t="s">
        <v>44</v>
      </c>
      <c r="C10" s="95" t="s">
        <v>56</v>
      </c>
      <c r="D10" s="94">
        <v>0</v>
      </c>
      <c r="E10" s="94">
        <v>4.57</v>
      </c>
      <c r="F10" s="94">
        <v>0.02</v>
      </c>
      <c r="G10" s="94">
        <v>6.12</v>
      </c>
      <c r="H10" s="94">
        <v>0.09</v>
      </c>
      <c r="I10" s="94">
        <v>5.55</v>
      </c>
      <c r="J10" s="94">
        <v>0.08</v>
      </c>
      <c r="K10" s="94">
        <v>5.67</v>
      </c>
      <c r="L10" s="94">
        <v>0.12</v>
      </c>
      <c r="M10" s="94">
        <v>5.48</v>
      </c>
      <c r="N10" s="94">
        <v>7.0000000000000007E-2</v>
      </c>
      <c r="O10" s="93">
        <v>5.58</v>
      </c>
    </row>
    <row r="11" spans="1:15" ht="15.75" x14ac:dyDescent="0.3">
      <c r="A11" s="5" t="s">
        <v>73</v>
      </c>
      <c r="B11" s="5" t="s">
        <v>44</v>
      </c>
      <c r="C11" s="95" t="s">
        <v>58</v>
      </c>
      <c r="D11" s="94">
        <v>1.61</v>
      </c>
      <c r="E11" s="94">
        <v>2.88</v>
      </c>
      <c r="F11" s="94">
        <v>4.51</v>
      </c>
      <c r="G11" s="94">
        <v>2.99</v>
      </c>
      <c r="H11" s="94">
        <v>8.2100000000000009</v>
      </c>
      <c r="I11" s="94">
        <v>2.91</v>
      </c>
      <c r="J11" s="94">
        <v>11.27</v>
      </c>
      <c r="K11" s="94">
        <v>2.86</v>
      </c>
      <c r="L11" s="94">
        <v>11.19</v>
      </c>
      <c r="M11" s="94">
        <v>2.87</v>
      </c>
      <c r="N11" s="94">
        <v>7.48</v>
      </c>
      <c r="O11" s="93">
        <v>2.9</v>
      </c>
    </row>
    <row r="12" spans="1:15" ht="15.75" x14ac:dyDescent="0.3">
      <c r="A12" s="5" t="s">
        <v>75</v>
      </c>
      <c r="B12" s="5" t="s">
        <v>44</v>
      </c>
      <c r="C12" s="95" t="s">
        <v>57</v>
      </c>
      <c r="D12" s="94" t="s">
        <v>139</v>
      </c>
      <c r="E12" s="94" t="s">
        <v>139</v>
      </c>
      <c r="F12" s="94">
        <v>0.02</v>
      </c>
      <c r="G12" s="94">
        <v>2.0699999999999998</v>
      </c>
      <c r="H12" s="94">
        <v>0.16</v>
      </c>
      <c r="I12" s="94">
        <v>3.22</v>
      </c>
      <c r="J12" s="94">
        <v>0.28000000000000003</v>
      </c>
      <c r="K12" s="94">
        <v>2.69</v>
      </c>
      <c r="L12" s="94">
        <v>0.39</v>
      </c>
      <c r="M12" s="94">
        <v>2.99</v>
      </c>
      <c r="N12" s="94">
        <v>0.16</v>
      </c>
      <c r="O12" s="93">
        <v>2.97</v>
      </c>
    </row>
    <row r="13" spans="1:15" ht="15.75" x14ac:dyDescent="0.3">
      <c r="A13" s="5" t="s">
        <v>77</v>
      </c>
      <c r="B13" s="5" t="s">
        <v>152</v>
      </c>
      <c r="C13" s="95" t="s">
        <v>58</v>
      </c>
      <c r="D13" s="94">
        <v>0.03</v>
      </c>
      <c r="E13" s="94">
        <v>2.72</v>
      </c>
      <c r="F13" s="94">
        <v>0.03</v>
      </c>
      <c r="G13" s="94">
        <v>2.72</v>
      </c>
      <c r="H13" s="94">
        <v>0.16</v>
      </c>
      <c r="I13" s="94">
        <v>2.52</v>
      </c>
      <c r="J13" s="94">
        <v>0.12</v>
      </c>
      <c r="K13" s="94">
        <v>2.59</v>
      </c>
      <c r="L13" s="94">
        <v>0.08</v>
      </c>
      <c r="M13" s="94">
        <v>2.72</v>
      </c>
      <c r="N13" s="94">
        <v>0.1</v>
      </c>
      <c r="O13" s="93">
        <v>2.58</v>
      </c>
    </row>
    <row r="14" spans="1:15" ht="15.75" x14ac:dyDescent="0.3">
      <c r="A14" s="5" t="s">
        <v>79</v>
      </c>
      <c r="B14" s="5" t="s">
        <v>37</v>
      </c>
      <c r="C14" s="95" t="s">
        <v>145</v>
      </c>
      <c r="D14" s="94">
        <v>0.11</v>
      </c>
      <c r="E14" s="94">
        <v>2.56</v>
      </c>
      <c r="F14" s="94">
        <v>0.21</v>
      </c>
      <c r="G14" s="94">
        <v>2.67</v>
      </c>
      <c r="H14" s="94">
        <v>0.47</v>
      </c>
      <c r="I14" s="94">
        <v>2.61</v>
      </c>
      <c r="J14" s="94">
        <v>0.63</v>
      </c>
      <c r="K14" s="94">
        <v>2.56</v>
      </c>
      <c r="L14" s="94">
        <v>0.31</v>
      </c>
      <c r="M14" s="94">
        <v>2.6</v>
      </c>
      <c r="N14" s="94">
        <v>0.37</v>
      </c>
      <c r="O14" s="93">
        <v>2.6</v>
      </c>
    </row>
    <row r="15" spans="1:15" ht="15.75" x14ac:dyDescent="0.3">
      <c r="A15" s="5" t="s">
        <v>81</v>
      </c>
      <c r="B15" s="5" t="s">
        <v>45</v>
      </c>
      <c r="C15" s="95" t="s">
        <v>58</v>
      </c>
      <c r="D15" s="94">
        <v>0.86</v>
      </c>
      <c r="E15" s="94">
        <v>3.17</v>
      </c>
      <c r="F15" s="94">
        <v>1.57</v>
      </c>
      <c r="G15" s="94">
        <v>3.11</v>
      </c>
      <c r="H15" s="94">
        <v>2.14</v>
      </c>
      <c r="I15" s="94">
        <v>3.02</v>
      </c>
      <c r="J15" s="94">
        <v>2.11</v>
      </c>
      <c r="K15" s="94">
        <v>2.99</v>
      </c>
      <c r="L15" s="94">
        <v>2.64</v>
      </c>
      <c r="M15" s="94">
        <v>3.1</v>
      </c>
      <c r="N15" s="94">
        <v>1.91</v>
      </c>
      <c r="O15" s="93">
        <v>3.05</v>
      </c>
    </row>
    <row r="16" spans="1:15" ht="15.75" x14ac:dyDescent="0.3">
      <c r="A16" s="5" t="s">
        <v>83</v>
      </c>
      <c r="B16" s="5" t="s">
        <v>34</v>
      </c>
      <c r="C16" s="95" t="s">
        <v>56</v>
      </c>
      <c r="D16" s="94">
        <v>0.15</v>
      </c>
      <c r="E16" s="94">
        <v>4.29</v>
      </c>
      <c r="F16" s="94">
        <v>1.57</v>
      </c>
      <c r="G16" s="94">
        <v>4.3499999999999996</v>
      </c>
      <c r="H16" s="94">
        <v>2.73</v>
      </c>
      <c r="I16" s="94">
        <v>4.38</v>
      </c>
      <c r="J16" s="94">
        <v>4.91</v>
      </c>
      <c r="K16" s="94">
        <v>4.2699999999999996</v>
      </c>
      <c r="L16" s="94">
        <v>6</v>
      </c>
      <c r="M16" s="94">
        <v>4.25</v>
      </c>
      <c r="N16" s="94">
        <v>2.96</v>
      </c>
      <c r="O16" s="93">
        <v>4.3099999999999996</v>
      </c>
    </row>
    <row r="17" spans="1:15" ht="15.75" x14ac:dyDescent="0.3">
      <c r="A17" s="5" t="s">
        <v>85</v>
      </c>
      <c r="B17" s="5" t="s">
        <v>35</v>
      </c>
      <c r="C17" s="95" t="s">
        <v>58</v>
      </c>
      <c r="D17" s="94">
        <v>0.55000000000000004</v>
      </c>
      <c r="E17" s="94">
        <v>1.59</v>
      </c>
      <c r="F17" s="94">
        <v>6.05</v>
      </c>
      <c r="G17" s="94">
        <v>1.54</v>
      </c>
      <c r="H17" s="94">
        <v>11.53</v>
      </c>
      <c r="I17" s="94">
        <v>1.58</v>
      </c>
      <c r="J17" s="94">
        <v>17.64</v>
      </c>
      <c r="K17" s="94">
        <v>1.55</v>
      </c>
      <c r="L17" s="94">
        <v>22.13</v>
      </c>
      <c r="M17" s="94">
        <v>1.53</v>
      </c>
      <c r="N17" s="94">
        <v>11.41</v>
      </c>
      <c r="O17" s="93">
        <v>1.55</v>
      </c>
    </row>
    <row r="18" spans="1:15" ht="15.75" x14ac:dyDescent="0.3">
      <c r="A18" s="5" t="s">
        <v>85</v>
      </c>
      <c r="B18" s="5" t="s">
        <v>38</v>
      </c>
      <c r="C18" s="95" t="s">
        <v>58</v>
      </c>
      <c r="D18" s="94">
        <v>0</v>
      </c>
      <c r="E18" s="94">
        <v>3.34</v>
      </c>
      <c r="F18" s="94">
        <v>0</v>
      </c>
      <c r="G18" s="94">
        <v>3.28</v>
      </c>
      <c r="H18" s="94">
        <v>0.01</v>
      </c>
      <c r="I18" s="94">
        <v>3.47</v>
      </c>
      <c r="J18" s="94">
        <v>0.06</v>
      </c>
      <c r="K18" s="94">
        <v>3.4</v>
      </c>
      <c r="L18" s="94">
        <v>0.03</v>
      </c>
      <c r="M18" s="94">
        <v>3.42</v>
      </c>
      <c r="N18" s="94">
        <v>0.02</v>
      </c>
      <c r="O18" s="93">
        <v>3.41</v>
      </c>
    </row>
    <row r="19" spans="1:15" ht="15.75" x14ac:dyDescent="0.3">
      <c r="A19" s="5" t="s">
        <v>85</v>
      </c>
      <c r="B19" s="5" t="s">
        <v>31</v>
      </c>
      <c r="C19" s="95" t="s">
        <v>58</v>
      </c>
      <c r="D19" s="94">
        <v>0.04</v>
      </c>
      <c r="E19" s="94">
        <v>1.41</v>
      </c>
      <c r="F19" s="94">
        <v>0.01</v>
      </c>
      <c r="G19" s="94">
        <v>1.41</v>
      </c>
      <c r="H19" s="94">
        <v>0.05</v>
      </c>
      <c r="I19" s="94">
        <v>1.35</v>
      </c>
      <c r="J19" s="94">
        <v>0.05</v>
      </c>
      <c r="K19" s="94">
        <v>1.53</v>
      </c>
      <c r="L19" s="94">
        <v>0.03</v>
      </c>
      <c r="M19" s="94">
        <v>1.51</v>
      </c>
      <c r="N19" s="94">
        <v>0.04</v>
      </c>
      <c r="O19" s="93">
        <v>1.41</v>
      </c>
    </row>
    <row r="20" spans="1:15" ht="15.75" x14ac:dyDescent="0.3">
      <c r="A20" s="5" t="s">
        <v>93</v>
      </c>
      <c r="B20" s="5" t="s">
        <v>42</v>
      </c>
      <c r="C20" s="95" t="s">
        <v>56</v>
      </c>
      <c r="D20" s="94">
        <v>0.01</v>
      </c>
      <c r="E20" s="94">
        <v>73.2</v>
      </c>
      <c r="F20" s="94">
        <v>0.03</v>
      </c>
      <c r="G20" s="94">
        <v>45.85</v>
      </c>
      <c r="H20" s="94">
        <v>0.06</v>
      </c>
      <c r="I20" s="94">
        <v>30.62</v>
      </c>
      <c r="J20" s="94">
        <v>0.17</v>
      </c>
      <c r="K20" s="94">
        <v>11.26</v>
      </c>
      <c r="L20" s="94">
        <v>0.06</v>
      </c>
      <c r="M20" s="94">
        <v>4.6500000000000004</v>
      </c>
      <c r="N20" s="94">
        <v>0.06</v>
      </c>
      <c r="O20" s="93">
        <v>20.84</v>
      </c>
    </row>
    <row r="21" spans="1:15" ht="15.75" x14ac:dyDescent="0.3">
      <c r="A21" s="5" t="s">
        <v>93</v>
      </c>
      <c r="B21" s="5" t="s">
        <v>42</v>
      </c>
      <c r="C21" s="95" t="s">
        <v>58</v>
      </c>
      <c r="D21" s="94">
        <v>1.78</v>
      </c>
      <c r="E21" s="94">
        <v>3.18</v>
      </c>
      <c r="F21" s="94">
        <v>4.16</v>
      </c>
      <c r="G21" s="94">
        <v>3.11</v>
      </c>
      <c r="H21" s="94">
        <v>7.75</v>
      </c>
      <c r="I21" s="94">
        <v>3.12</v>
      </c>
      <c r="J21" s="94">
        <v>8.42</v>
      </c>
      <c r="K21" s="94">
        <v>3.14</v>
      </c>
      <c r="L21" s="94">
        <v>8.82</v>
      </c>
      <c r="M21" s="94">
        <v>3.04</v>
      </c>
      <c r="N21" s="94">
        <v>6.47</v>
      </c>
      <c r="O21" s="93">
        <v>3.11</v>
      </c>
    </row>
    <row r="22" spans="1:15" ht="15.75" x14ac:dyDescent="0.3">
      <c r="A22" s="5" t="s">
        <v>97</v>
      </c>
      <c r="B22" s="5" t="s">
        <v>42</v>
      </c>
      <c r="C22" s="95" t="s">
        <v>57</v>
      </c>
      <c r="D22" s="94">
        <v>0.04</v>
      </c>
      <c r="E22" s="94">
        <v>3.02</v>
      </c>
      <c r="F22" s="94">
        <v>0.34</v>
      </c>
      <c r="G22" s="94">
        <v>5.46</v>
      </c>
      <c r="H22" s="94">
        <v>0.79</v>
      </c>
      <c r="I22" s="94">
        <v>5.04</v>
      </c>
      <c r="J22" s="94">
        <v>0.83</v>
      </c>
      <c r="K22" s="94">
        <v>5.13</v>
      </c>
      <c r="L22" s="94">
        <v>1.31</v>
      </c>
      <c r="M22" s="94">
        <v>4.51</v>
      </c>
      <c r="N22" s="94">
        <v>0.68</v>
      </c>
      <c r="O22" s="93">
        <v>4.92</v>
      </c>
    </row>
    <row r="23" spans="1:15" ht="15.75" x14ac:dyDescent="0.3">
      <c r="B23" s="5" t="s">
        <v>47</v>
      </c>
      <c r="C23" s="95" t="s">
        <v>59</v>
      </c>
      <c r="D23" s="94">
        <v>0</v>
      </c>
      <c r="E23" s="94">
        <v>3.83</v>
      </c>
      <c r="F23" s="94">
        <v>0</v>
      </c>
      <c r="G23" s="94">
        <v>3.8</v>
      </c>
      <c r="H23" s="94">
        <v>0</v>
      </c>
      <c r="I23" s="94">
        <v>3.82</v>
      </c>
      <c r="J23" s="94">
        <v>0</v>
      </c>
      <c r="K23" s="94">
        <v>3.8</v>
      </c>
      <c r="L23" s="94">
        <v>0</v>
      </c>
      <c r="M23" s="94">
        <v>3.87</v>
      </c>
      <c r="N23" s="94">
        <v>0</v>
      </c>
      <c r="O23" s="93">
        <v>3.81</v>
      </c>
    </row>
    <row r="24" spans="1:15" ht="15.75" x14ac:dyDescent="0.3">
      <c r="A24" s="5" t="s">
        <v>87</v>
      </c>
      <c r="B24" s="5" t="s">
        <v>47</v>
      </c>
      <c r="C24" s="95" t="s">
        <v>58</v>
      </c>
      <c r="D24" s="94">
        <v>0.15</v>
      </c>
      <c r="E24" s="94">
        <v>3.68</v>
      </c>
      <c r="F24" s="94">
        <v>0.47</v>
      </c>
      <c r="G24" s="94">
        <v>3.83</v>
      </c>
      <c r="H24" s="94">
        <v>0.98</v>
      </c>
      <c r="I24" s="94">
        <v>3.84</v>
      </c>
      <c r="J24" s="94">
        <v>0.75</v>
      </c>
      <c r="K24" s="94">
        <v>3.8</v>
      </c>
      <c r="L24" s="94">
        <v>0.6</v>
      </c>
      <c r="M24" s="94">
        <v>3.81</v>
      </c>
      <c r="N24" s="94">
        <v>0.67</v>
      </c>
      <c r="O24" s="93">
        <v>3.82</v>
      </c>
    </row>
    <row r="25" spans="1:15" ht="15.75" x14ac:dyDescent="0.3">
      <c r="A25" s="5" t="s">
        <v>87</v>
      </c>
      <c r="B25" s="5" t="s">
        <v>32</v>
      </c>
      <c r="C25" s="95" t="s">
        <v>58</v>
      </c>
      <c r="D25" s="94">
        <v>0</v>
      </c>
      <c r="E25" s="94">
        <v>1.5</v>
      </c>
      <c r="F25" s="94">
        <v>0.01</v>
      </c>
      <c r="G25" s="94">
        <v>1.55</v>
      </c>
      <c r="H25" s="94">
        <v>0.01</v>
      </c>
      <c r="I25" s="94">
        <v>1.52</v>
      </c>
      <c r="J25" s="94">
        <v>0.01</v>
      </c>
      <c r="K25" s="94">
        <v>1.53</v>
      </c>
      <c r="L25" s="94">
        <v>0.01</v>
      </c>
      <c r="M25" s="94">
        <v>1.52</v>
      </c>
      <c r="N25" s="94">
        <v>0.01</v>
      </c>
      <c r="O25" s="93">
        <v>1.53</v>
      </c>
    </row>
    <row r="26" spans="1:15" ht="54" x14ac:dyDescent="0.3">
      <c r="A26" s="5" t="s">
        <v>91</v>
      </c>
      <c r="B26" s="5" t="s">
        <v>146</v>
      </c>
      <c r="C26" s="244" t="s">
        <v>56</v>
      </c>
      <c r="D26" s="234">
        <v>0.16</v>
      </c>
      <c r="E26" s="234">
        <v>0.26</v>
      </c>
      <c r="F26" s="234">
        <v>1.55</v>
      </c>
      <c r="G26" s="234">
        <v>0.28000000000000003</v>
      </c>
      <c r="H26" s="234">
        <v>1.3</v>
      </c>
      <c r="I26" s="234">
        <v>0.28000000000000003</v>
      </c>
      <c r="J26" s="234">
        <v>4.5</v>
      </c>
      <c r="K26" s="234">
        <v>0.28000000000000003</v>
      </c>
      <c r="L26" s="234">
        <v>17.350000000000001</v>
      </c>
      <c r="M26" s="234">
        <v>0.28000000000000003</v>
      </c>
      <c r="N26" s="234">
        <v>4.0199999999999996</v>
      </c>
      <c r="O26" s="243">
        <v>0.28000000000000003</v>
      </c>
    </row>
    <row r="27" spans="1:15" ht="15.75" x14ac:dyDescent="0.3">
      <c r="A27" s="5" t="s">
        <v>95</v>
      </c>
      <c r="B27" s="5" t="s">
        <v>46</v>
      </c>
      <c r="C27" s="24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43"/>
    </row>
    <row r="28" spans="1:15" ht="15.75" x14ac:dyDescent="0.3">
      <c r="A28" s="5"/>
      <c r="B28" s="5" t="s">
        <v>46</v>
      </c>
      <c r="C28" s="95" t="s">
        <v>58</v>
      </c>
      <c r="D28" s="94">
        <v>0.14000000000000001</v>
      </c>
      <c r="E28" s="94">
        <v>3.25</v>
      </c>
      <c r="F28" s="94">
        <v>1.94</v>
      </c>
      <c r="G28" s="94">
        <v>5.18</v>
      </c>
      <c r="H28" s="94">
        <v>2.0299999999999998</v>
      </c>
      <c r="I28" s="94">
        <v>3.63</v>
      </c>
      <c r="J28" s="94">
        <v>4.3600000000000003</v>
      </c>
      <c r="K28" s="94">
        <v>4.05</v>
      </c>
      <c r="L28" s="94">
        <v>5.54</v>
      </c>
      <c r="M28" s="94">
        <v>3.93</v>
      </c>
      <c r="N28" s="94">
        <v>2.6</v>
      </c>
      <c r="O28" s="93">
        <v>4.0199999999999996</v>
      </c>
    </row>
    <row r="29" spans="1:15" ht="15.75" x14ac:dyDescent="0.3">
      <c r="A29" s="5" t="s">
        <v>69</v>
      </c>
      <c r="B29" s="5" t="s">
        <v>119</v>
      </c>
      <c r="C29" s="95" t="s">
        <v>56</v>
      </c>
      <c r="D29" s="94" t="s">
        <v>139</v>
      </c>
      <c r="E29" s="94" t="s">
        <v>139</v>
      </c>
      <c r="F29" s="94" t="s">
        <v>139</v>
      </c>
      <c r="G29" s="94" t="s">
        <v>139</v>
      </c>
      <c r="H29" s="94">
        <v>0.01</v>
      </c>
      <c r="I29" s="94">
        <v>0.19</v>
      </c>
      <c r="J29" s="94" t="s">
        <v>139</v>
      </c>
      <c r="K29" s="94" t="s">
        <v>139</v>
      </c>
      <c r="L29" s="94">
        <v>0.61</v>
      </c>
      <c r="M29" s="94">
        <v>0.19</v>
      </c>
      <c r="N29" s="94">
        <v>0.09</v>
      </c>
      <c r="O29" s="93">
        <v>0.19</v>
      </c>
    </row>
    <row r="30" spans="1:15" ht="15.75" x14ac:dyDescent="0.3">
      <c r="A30" s="5" t="s">
        <v>69</v>
      </c>
      <c r="B30" s="5" t="s">
        <v>147</v>
      </c>
      <c r="C30" s="244" t="s">
        <v>165</v>
      </c>
      <c r="D30" s="234" t="s">
        <v>139</v>
      </c>
      <c r="E30" s="234" t="s">
        <v>139</v>
      </c>
      <c r="F30" s="234" t="s">
        <v>139</v>
      </c>
      <c r="G30" s="234" t="s">
        <v>139</v>
      </c>
      <c r="H30" s="234">
        <v>0</v>
      </c>
      <c r="I30" s="234">
        <v>7.34</v>
      </c>
      <c r="J30" s="234">
        <v>0.01</v>
      </c>
      <c r="K30" s="234">
        <v>7.34</v>
      </c>
      <c r="L30" s="234">
        <v>0.01</v>
      </c>
      <c r="M30" s="234">
        <v>7.34</v>
      </c>
      <c r="N30" s="234">
        <v>0.01</v>
      </c>
      <c r="O30" s="243">
        <v>7.34</v>
      </c>
    </row>
    <row r="31" spans="1:15" ht="15.75" x14ac:dyDescent="0.3">
      <c r="A31" s="5" t="s">
        <v>69</v>
      </c>
      <c r="B31" s="5" t="s">
        <v>49</v>
      </c>
      <c r="C31" s="244"/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43"/>
    </row>
    <row r="32" spans="1:15" ht="15.75" x14ac:dyDescent="0.3">
      <c r="A32" s="5" t="s">
        <v>89</v>
      </c>
      <c r="B32" s="5" t="s">
        <v>49</v>
      </c>
      <c r="C32" s="95" t="s">
        <v>61</v>
      </c>
      <c r="D32" s="94" t="s">
        <v>139</v>
      </c>
      <c r="E32" s="94" t="s">
        <v>139</v>
      </c>
      <c r="F32" s="94">
        <v>0.02</v>
      </c>
      <c r="G32" s="94">
        <v>6.05</v>
      </c>
      <c r="H32" s="94">
        <v>0.02</v>
      </c>
      <c r="I32" s="94">
        <v>6.05</v>
      </c>
      <c r="J32" s="94">
        <v>0.03</v>
      </c>
      <c r="K32" s="94">
        <v>6.05</v>
      </c>
      <c r="L32" s="94">
        <v>0.02</v>
      </c>
      <c r="M32" s="94">
        <v>6.05</v>
      </c>
      <c r="N32" s="94">
        <v>0.02</v>
      </c>
      <c r="O32" s="93">
        <v>6.05</v>
      </c>
    </row>
    <row r="33" spans="1:15" ht="15.75" x14ac:dyDescent="0.3">
      <c r="A33" s="5" t="s">
        <v>89</v>
      </c>
      <c r="B33" s="5" t="s">
        <v>49</v>
      </c>
      <c r="C33" s="95" t="s">
        <v>58</v>
      </c>
      <c r="D33" s="94">
        <v>0.01</v>
      </c>
      <c r="E33" s="94">
        <v>3.87</v>
      </c>
      <c r="F33" s="94">
        <v>0.02</v>
      </c>
      <c r="G33" s="94">
        <v>3.87</v>
      </c>
      <c r="H33" s="94">
        <v>0.03</v>
      </c>
      <c r="I33" s="94">
        <v>3.87</v>
      </c>
      <c r="J33" s="94">
        <v>0.03</v>
      </c>
      <c r="K33" s="94">
        <v>3.87</v>
      </c>
      <c r="L33" s="94">
        <v>0.01</v>
      </c>
      <c r="M33" s="94">
        <v>3.87</v>
      </c>
      <c r="N33" s="94">
        <v>0.03</v>
      </c>
      <c r="O33" s="93">
        <v>3.87</v>
      </c>
    </row>
    <row r="34" spans="1:15" ht="15.75" x14ac:dyDescent="0.3">
      <c r="A34" s="5" t="s">
        <v>89</v>
      </c>
      <c r="B34" s="5" t="s">
        <v>49</v>
      </c>
      <c r="C34" s="95" t="s">
        <v>57</v>
      </c>
      <c r="D34" s="94" t="s">
        <v>139</v>
      </c>
      <c r="E34" s="94" t="s">
        <v>139</v>
      </c>
      <c r="F34" s="94">
        <v>0</v>
      </c>
      <c r="G34" s="94">
        <v>4.82</v>
      </c>
      <c r="H34" s="94" t="s">
        <v>139</v>
      </c>
      <c r="I34" s="94" t="s">
        <v>139</v>
      </c>
      <c r="J34" s="94" t="s">
        <v>139</v>
      </c>
      <c r="K34" s="94" t="s">
        <v>139</v>
      </c>
      <c r="L34" s="94" t="s">
        <v>139</v>
      </c>
      <c r="M34" s="94" t="s">
        <v>139</v>
      </c>
      <c r="N34" s="94">
        <v>0</v>
      </c>
      <c r="O34" s="93">
        <v>4.82</v>
      </c>
    </row>
    <row r="35" spans="1:15" ht="15.75" x14ac:dyDescent="0.3">
      <c r="A35" s="5" t="s">
        <v>89</v>
      </c>
      <c r="B35" s="5" t="s">
        <v>50</v>
      </c>
      <c r="C35" s="95" t="s">
        <v>163</v>
      </c>
      <c r="D35" s="94">
        <v>0</v>
      </c>
      <c r="E35" s="94">
        <v>2.87</v>
      </c>
      <c r="F35" s="94" t="s">
        <v>139</v>
      </c>
      <c r="G35" s="94" t="s">
        <v>139</v>
      </c>
      <c r="H35" s="94" t="s">
        <v>139</v>
      </c>
      <c r="I35" s="94" t="s">
        <v>139</v>
      </c>
      <c r="J35" s="94" t="s">
        <v>139</v>
      </c>
      <c r="K35" s="94" t="s">
        <v>139</v>
      </c>
      <c r="L35" s="94" t="s">
        <v>139</v>
      </c>
      <c r="M35" s="94" t="s">
        <v>139</v>
      </c>
      <c r="N35" s="94">
        <v>0</v>
      </c>
      <c r="O35" s="93">
        <v>2.87</v>
      </c>
    </row>
    <row r="36" spans="1:15" ht="15.75" x14ac:dyDescent="0.3">
      <c r="A36" s="5" t="s">
        <v>99</v>
      </c>
      <c r="B36" s="5" t="s">
        <v>50</v>
      </c>
      <c r="C36" s="95" t="s">
        <v>60</v>
      </c>
      <c r="D36" s="94">
        <v>0.05</v>
      </c>
      <c r="E36" s="94">
        <v>11.27</v>
      </c>
      <c r="F36" s="94">
        <v>0.05</v>
      </c>
      <c r="G36" s="94">
        <v>11.22</v>
      </c>
      <c r="H36" s="94">
        <v>0.06</v>
      </c>
      <c r="I36" s="94">
        <v>11.22</v>
      </c>
      <c r="J36" s="94">
        <v>0.09</v>
      </c>
      <c r="K36" s="94">
        <v>11.23</v>
      </c>
      <c r="L36" s="94">
        <v>0.02</v>
      </c>
      <c r="M36" s="94">
        <v>11.13</v>
      </c>
      <c r="N36" s="94">
        <v>0.05</v>
      </c>
      <c r="O36" s="93">
        <v>11.22</v>
      </c>
    </row>
    <row r="37" spans="1:15" ht="15.75" x14ac:dyDescent="0.3">
      <c r="A37" s="5" t="s">
        <v>99</v>
      </c>
      <c r="B37" s="5" t="s">
        <v>50</v>
      </c>
      <c r="C37" s="95" t="s">
        <v>166</v>
      </c>
      <c r="D37" s="94">
        <v>0</v>
      </c>
      <c r="E37" s="94">
        <v>0.74</v>
      </c>
      <c r="F37" s="94" t="s">
        <v>139</v>
      </c>
      <c r="G37" s="94" t="s">
        <v>139</v>
      </c>
      <c r="H37" s="94" t="s">
        <v>139</v>
      </c>
      <c r="I37" s="94" t="s">
        <v>139</v>
      </c>
      <c r="J37" s="94" t="s">
        <v>139</v>
      </c>
      <c r="K37" s="94" t="s">
        <v>139</v>
      </c>
      <c r="L37" s="94" t="s">
        <v>139</v>
      </c>
      <c r="M37" s="94" t="s">
        <v>139</v>
      </c>
      <c r="N37" s="94">
        <v>0</v>
      </c>
      <c r="O37" s="93">
        <v>0.74</v>
      </c>
    </row>
    <row r="38" spans="1:15" ht="15.75" x14ac:dyDescent="0.3">
      <c r="A38" s="5" t="s">
        <v>99</v>
      </c>
      <c r="B38" s="5" t="s">
        <v>50</v>
      </c>
      <c r="C38" s="95" t="s">
        <v>62</v>
      </c>
      <c r="D38" s="94" t="s">
        <v>139</v>
      </c>
      <c r="E38" s="94" t="s">
        <v>139</v>
      </c>
      <c r="F38" s="94">
        <v>0</v>
      </c>
      <c r="G38" s="94">
        <v>1.72</v>
      </c>
      <c r="H38" s="94" t="s">
        <v>139</v>
      </c>
      <c r="I38" s="94" t="s">
        <v>139</v>
      </c>
      <c r="J38" s="94" t="s">
        <v>139</v>
      </c>
      <c r="K38" s="94" t="s">
        <v>139</v>
      </c>
      <c r="L38" s="94" t="s">
        <v>139</v>
      </c>
      <c r="M38" s="94" t="s">
        <v>139</v>
      </c>
      <c r="N38" s="94">
        <v>0</v>
      </c>
      <c r="O38" s="93">
        <v>1.72</v>
      </c>
    </row>
    <row r="39" spans="1:15" ht="16.5" thickBot="1" x14ac:dyDescent="0.35">
      <c r="A39" s="17" t="s">
        <v>101</v>
      </c>
      <c r="B39" s="5" t="s">
        <v>50</v>
      </c>
      <c r="C39" s="95" t="s">
        <v>61</v>
      </c>
      <c r="D39" s="94">
        <v>0.19</v>
      </c>
      <c r="E39" s="94">
        <v>6.33</v>
      </c>
      <c r="F39" s="94">
        <v>0.31</v>
      </c>
      <c r="G39" s="94">
        <v>1.49</v>
      </c>
      <c r="H39" s="94">
        <v>0.43</v>
      </c>
      <c r="I39" s="94">
        <v>1.1200000000000001</v>
      </c>
      <c r="J39" s="94">
        <v>0.62</v>
      </c>
      <c r="K39" s="94">
        <v>-1.1499999999999999</v>
      </c>
      <c r="L39" s="94">
        <v>0.37</v>
      </c>
      <c r="M39" s="94">
        <v>0.54</v>
      </c>
      <c r="N39" s="94">
        <v>0.39</v>
      </c>
      <c r="O39" s="93">
        <v>0.91</v>
      </c>
    </row>
    <row r="40" spans="1:15" ht="16.5" thickBot="1" x14ac:dyDescent="0.35">
      <c r="B40" s="17" t="s">
        <v>50</v>
      </c>
      <c r="C40" s="18" t="s">
        <v>57</v>
      </c>
      <c r="D40" s="62">
        <v>0.41</v>
      </c>
      <c r="E40" s="62">
        <v>7.0000000000000007E-2</v>
      </c>
      <c r="F40" s="62">
        <v>0.17</v>
      </c>
      <c r="G40" s="62">
        <v>7.0000000000000007E-2</v>
      </c>
      <c r="H40" s="62">
        <v>0.19</v>
      </c>
      <c r="I40" s="62">
        <v>0.13</v>
      </c>
      <c r="J40" s="62">
        <v>0.39</v>
      </c>
      <c r="K40" s="62">
        <v>0.12</v>
      </c>
      <c r="L40" s="62">
        <v>1.19</v>
      </c>
      <c r="M40" s="62">
        <v>0.13</v>
      </c>
      <c r="N40" s="62">
        <v>0.4</v>
      </c>
      <c r="O40" s="61">
        <v>0.11</v>
      </c>
    </row>
  </sheetData>
  <mergeCells count="39">
    <mergeCell ref="O26:O27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M30:M31"/>
    <mergeCell ref="N30:N31"/>
    <mergeCell ref="O30:O31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N26:N27"/>
    <mergeCell ref="O1:O2"/>
    <mergeCell ref="I1:I2"/>
    <mergeCell ref="J1:J2"/>
    <mergeCell ref="K1:K2"/>
    <mergeCell ref="L1:L2"/>
    <mergeCell ref="M1:M2"/>
    <mergeCell ref="N1:N2"/>
    <mergeCell ref="H1:H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E3:S50"/>
  <sheetViews>
    <sheetView topLeftCell="B1" workbookViewId="0">
      <selection activeCell="L17" sqref="L17:L50"/>
    </sheetView>
  </sheetViews>
  <sheetFormatPr baseColWidth="10" defaultRowHeight="15" x14ac:dyDescent="0.25"/>
  <cols>
    <col min="12" max="12" width="39.5703125" customWidth="1"/>
    <col min="13" max="17" width="7.28515625" bestFit="1" customWidth="1"/>
    <col min="18" max="18" width="8.140625" bestFit="1" customWidth="1"/>
    <col min="19" max="19" width="5" bestFit="1" customWidth="1"/>
  </cols>
  <sheetData>
    <row r="3" spans="5:19" ht="15.75" thickBot="1" x14ac:dyDescent="0.3">
      <c r="E3" s="141" t="s">
        <v>207</v>
      </c>
    </row>
    <row r="4" spans="5:19" ht="15.75" thickBot="1" x14ac:dyDescent="0.3">
      <c r="E4" s="137" t="s">
        <v>172</v>
      </c>
      <c r="F4" s="137" t="s">
        <v>56</v>
      </c>
      <c r="I4" s="147" t="s">
        <v>172</v>
      </c>
      <c r="J4" s="153" t="s">
        <v>56</v>
      </c>
      <c r="L4" s="130" t="s">
        <v>389</v>
      </c>
      <c r="M4" s="129">
        <v>2958.39</v>
      </c>
      <c r="N4" s="129">
        <v>3526.85</v>
      </c>
      <c r="O4" s="129">
        <v>8906.26</v>
      </c>
      <c r="P4" s="129">
        <v>3752.14</v>
      </c>
      <c r="Q4" s="129">
        <v>1166.4100000000001</v>
      </c>
      <c r="R4" s="129">
        <v>20310.060000000001</v>
      </c>
      <c r="S4" s="3">
        <v>29.36</v>
      </c>
    </row>
    <row r="5" spans="5:19" ht="15.75" thickBot="1" x14ac:dyDescent="0.3">
      <c r="E5" s="139" t="s">
        <v>63</v>
      </c>
      <c r="F5" s="139" t="s">
        <v>56</v>
      </c>
      <c r="I5" s="147" t="s">
        <v>63</v>
      </c>
      <c r="J5" s="153" t="s">
        <v>56</v>
      </c>
      <c r="L5" s="130" t="s">
        <v>390</v>
      </c>
      <c r="M5" s="3">
        <v>87.09</v>
      </c>
      <c r="N5" s="3">
        <v>88.9</v>
      </c>
      <c r="O5" s="3">
        <v>369.56</v>
      </c>
      <c r="P5" s="3">
        <v>126.27</v>
      </c>
      <c r="Q5" s="3" t="s">
        <v>139</v>
      </c>
      <c r="R5" s="3">
        <v>671.82</v>
      </c>
      <c r="S5" s="3">
        <v>0.97</v>
      </c>
    </row>
    <row r="6" spans="5:19" ht="15.75" thickBot="1" x14ac:dyDescent="0.3">
      <c r="E6" s="137" t="s">
        <v>65</v>
      </c>
      <c r="F6" s="137" t="s">
        <v>56</v>
      </c>
      <c r="I6" s="147" t="s">
        <v>65</v>
      </c>
      <c r="J6" s="153" t="s">
        <v>56</v>
      </c>
      <c r="L6" s="130" t="s">
        <v>391</v>
      </c>
      <c r="M6" s="3">
        <v>19.78</v>
      </c>
      <c r="N6" s="3">
        <v>32.090000000000003</v>
      </c>
      <c r="O6" s="3">
        <v>113.31</v>
      </c>
      <c r="P6" s="3">
        <v>66.69</v>
      </c>
      <c r="Q6" s="3">
        <v>74.489999999999995</v>
      </c>
      <c r="R6" s="3">
        <v>306.35000000000002</v>
      </c>
      <c r="S6" s="3">
        <v>0.44</v>
      </c>
    </row>
    <row r="7" spans="5:19" ht="15.75" thickBot="1" x14ac:dyDescent="0.3">
      <c r="E7" s="139" t="s">
        <v>65</v>
      </c>
      <c r="F7" s="139" t="s">
        <v>58</v>
      </c>
      <c r="I7" s="147" t="s">
        <v>65</v>
      </c>
      <c r="J7" s="153" t="s">
        <v>58</v>
      </c>
      <c r="L7" s="130" t="s">
        <v>392</v>
      </c>
      <c r="M7" s="3">
        <v>6.11</v>
      </c>
      <c r="N7" s="3">
        <v>29.13</v>
      </c>
      <c r="O7" s="3">
        <v>226.7</v>
      </c>
      <c r="P7" s="3">
        <v>69.53</v>
      </c>
      <c r="Q7" s="3">
        <v>98.71</v>
      </c>
      <c r="R7" s="3">
        <v>430.17</v>
      </c>
      <c r="S7" s="3">
        <v>0.62</v>
      </c>
    </row>
    <row r="8" spans="5:19" ht="15.75" thickBot="1" x14ac:dyDescent="0.3">
      <c r="E8" s="137" t="s">
        <v>67</v>
      </c>
      <c r="F8" s="137" t="s">
        <v>58</v>
      </c>
      <c r="I8" s="147" t="s">
        <v>67</v>
      </c>
      <c r="J8" s="153" t="s">
        <v>58</v>
      </c>
      <c r="L8" s="130" t="s">
        <v>393</v>
      </c>
      <c r="M8" s="3">
        <v>586.12</v>
      </c>
      <c r="N8" s="3">
        <v>711.08</v>
      </c>
      <c r="O8" s="129">
        <v>1337.71</v>
      </c>
      <c r="P8" s="3">
        <v>718.79</v>
      </c>
      <c r="Q8" s="129">
        <v>1817.34</v>
      </c>
      <c r="R8" s="129">
        <v>5171.05</v>
      </c>
      <c r="S8" s="3">
        <v>7.47</v>
      </c>
    </row>
    <row r="9" spans="5:19" ht="15.75" thickBot="1" x14ac:dyDescent="0.3">
      <c r="E9" s="139" t="s">
        <v>127</v>
      </c>
      <c r="F9" s="139" t="s">
        <v>166</v>
      </c>
      <c r="I9" s="147" t="s">
        <v>127</v>
      </c>
      <c r="J9" s="153" t="s">
        <v>166</v>
      </c>
      <c r="L9" s="130" t="s">
        <v>394</v>
      </c>
      <c r="M9" s="3" t="s">
        <v>139</v>
      </c>
      <c r="N9" s="3" t="s">
        <v>139</v>
      </c>
      <c r="O9" s="3">
        <v>32.89</v>
      </c>
      <c r="P9" s="3">
        <v>24.44</v>
      </c>
      <c r="Q9" s="3">
        <v>21.12</v>
      </c>
      <c r="R9" s="3">
        <v>78.459999999999994</v>
      </c>
      <c r="S9" s="3">
        <v>0.11</v>
      </c>
    </row>
    <row r="10" spans="5:19" ht="15.75" thickBot="1" x14ac:dyDescent="0.3">
      <c r="E10" s="137" t="s">
        <v>127</v>
      </c>
      <c r="F10" s="137" t="s">
        <v>56</v>
      </c>
      <c r="I10" s="147" t="s">
        <v>127</v>
      </c>
      <c r="J10" s="153" t="s">
        <v>56</v>
      </c>
      <c r="L10" s="130" t="s">
        <v>395</v>
      </c>
      <c r="M10" s="3">
        <v>37.630000000000003</v>
      </c>
      <c r="N10" s="3">
        <v>26.82</v>
      </c>
      <c r="O10" s="3">
        <v>67.17</v>
      </c>
      <c r="P10" s="3">
        <v>32.04</v>
      </c>
      <c r="Q10" s="3">
        <v>70.86</v>
      </c>
      <c r="R10" s="3">
        <v>234.52</v>
      </c>
      <c r="S10" s="3">
        <v>0.34</v>
      </c>
    </row>
    <row r="11" spans="5:19" ht="15.75" thickBot="1" x14ac:dyDescent="0.3">
      <c r="E11" s="139" t="s">
        <v>127</v>
      </c>
      <c r="F11" s="139" t="s">
        <v>57</v>
      </c>
      <c r="I11" s="147" t="s">
        <v>127</v>
      </c>
      <c r="J11" s="153" t="s">
        <v>57</v>
      </c>
      <c r="L11" s="130" t="s">
        <v>396</v>
      </c>
      <c r="M11" s="3">
        <v>102.86</v>
      </c>
      <c r="N11" s="3">
        <v>55.38</v>
      </c>
      <c r="O11" s="3">
        <v>193.29</v>
      </c>
      <c r="P11" s="3">
        <v>113.76</v>
      </c>
      <c r="Q11" s="3">
        <v>28.99</v>
      </c>
      <c r="R11" s="3">
        <v>494.29</v>
      </c>
      <c r="S11" s="3">
        <v>0.71</v>
      </c>
    </row>
    <row r="12" spans="5:19" x14ac:dyDescent="0.25">
      <c r="E12" s="137" t="s">
        <v>71</v>
      </c>
      <c r="F12" s="137" t="s">
        <v>56</v>
      </c>
      <c r="I12" s="147" t="s">
        <v>71</v>
      </c>
      <c r="J12" s="153" t="s">
        <v>56</v>
      </c>
    </row>
    <row r="13" spans="5:19" x14ac:dyDescent="0.25">
      <c r="E13" s="139" t="s">
        <v>71</v>
      </c>
      <c r="F13" s="139" t="s">
        <v>58</v>
      </c>
      <c r="I13" s="147" t="s">
        <v>71</v>
      </c>
      <c r="J13" s="153" t="s">
        <v>58</v>
      </c>
    </row>
    <row r="14" spans="5:19" x14ac:dyDescent="0.25">
      <c r="E14" s="137" t="s">
        <v>71</v>
      </c>
      <c r="F14" s="137" t="s">
        <v>57</v>
      </c>
      <c r="I14" s="147" t="s">
        <v>71</v>
      </c>
      <c r="J14" s="153" t="s">
        <v>57</v>
      </c>
    </row>
    <row r="15" spans="5:19" x14ac:dyDescent="0.25">
      <c r="E15" s="139" t="s">
        <v>153</v>
      </c>
      <c r="F15" s="139" t="s">
        <v>58</v>
      </c>
      <c r="I15" s="147" t="s">
        <v>153</v>
      </c>
      <c r="J15" s="153" t="s">
        <v>58</v>
      </c>
    </row>
    <row r="16" spans="5:19" x14ac:dyDescent="0.25">
      <c r="E16" s="137" t="s">
        <v>73</v>
      </c>
      <c r="F16" s="137" t="s">
        <v>145</v>
      </c>
      <c r="I16" s="147" t="s">
        <v>73</v>
      </c>
      <c r="J16" s="153" t="s">
        <v>145</v>
      </c>
      <c r="L16" t="s">
        <v>400</v>
      </c>
    </row>
    <row r="17" spans="5:12" x14ac:dyDescent="0.25">
      <c r="E17" s="139" t="s">
        <v>75</v>
      </c>
      <c r="F17" s="139" t="s">
        <v>58</v>
      </c>
      <c r="I17" s="147" t="s">
        <v>75</v>
      </c>
      <c r="J17" s="153" t="s">
        <v>58</v>
      </c>
      <c r="L17" s="137" t="s">
        <v>356</v>
      </c>
    </row>
    <row r="18" spans="5:12" x14ac:dyDescent="0.25">
      <c r="E18" s="137" t="s">
        <v>77</v>
      </c>
      <c r="F18" s="137" t="s">
        <v>56</v>
      </c>
      <c r="I18" s="147" t="s">
        <v>77</v>
      </c>
      <c r="J18" s="153" t="s">
        <v>56</v>
      </c>
      <c r="L18" s="139" t="s">
        <v>398</v>
      </c>
    </row>
    <row r="19" spans="5:12" x14ac:dyDescent="0.25">
      <c r="E19" s="139" t="s">
        <v>79</v>
      </c>
      <c r="F19" s="139" t="s">
        <v>58</v>
      </c>
      <c r="I19" s="147" t="s">
        <v>79</v>
      </c>
      <c r="J19" s="153" t="s">
        <v>58</v>
      </c>
      <c r="L19" s="137" t="s">
        <v>376</v>
      </c>
    </row>
    <row r="20" spans="5:12" x14ac:dyDescent="0.25">
      <c r="E20" s="137" t="s">
        <v>81</v>
      </c>
      <c r="F20" s="137" t="s">
        <v>58</v>
      </c>
      <c r="I20" s="147" t="s">
        <v>81</v>
      </c>
      <c r="J20" s="153" t="s">
        <v>58</v>
      </c>
      <c r="L20" s="139" t="s">
        <v>357</v>
      </c>
    </row>
    <row r="21" spans="5:12" x14ac:dyDescent="0.25">
      <c r="E21" s="139" t="s">
        <v>83</v>
      </c>
      <c r="F21" s="139" t="s">
        <v>58</v>
      </c>
      <c r="I21" s="147" t="s">
        <v>83</v>
      </c>
      <c r="J21" s="153" t="s">
        <v>58</v>
      </c>
      <c r="L21" s="137" t="s">
        <v>377</v>
      </c>
    </row>
    <row r="22" spans="5:12" x14ac:dyDescent="0.25">
      <c r="E22" s="137" t="s">
        <v>85</v>
      </c>
      <c r="F22" s="137" t="s">
        <v>56</v>
      </c>
      <c r="I22" s="147" t="s">
        <v>85</v>
      </c>
      <c r="J22" s="153" t="s">
        <v>56</v>
      </c>
      <c r="L22" s="139" t="s">
        <v>378</v>
      </c>
    </row>
    <row r="23" spans="5:12" x14ac:dyDescent="0.25">
      <c r="E23" s="139" t="s">
        <v>85</v>
      </c>
      <c r="F23" s="139" t="s">
        <v>58</v>
      </c>
      <c r="I23" s="147" t="s">
        <v>85</v>
      </c>
      <c r="J23" s="153" t="s">
        <v>58</v>
      </c>
      <c r="L23" s="137" t="s">
        <v>358</v>
      </c>
    </row>
    <row r="24" spans="5:12" x14ac:dyDescent="0.25">
      <c r="E24" s="137" t="s">
        <v>85</v>
      </c>
      <c r="F24" s="137" t="s">
        <v>57</v>
      </c>
      <c r="I24" s="147" t="s">
        <v>85</v>
      </c>
      <c r="J24" s="153" t="s">
        <v>57</v>
      </c>
      <c r="L24" s="139" t="s">
        <v>359</v>
      </c>
    </row>
    <row r="25" spans="5:12" x14ac:dyDescent="0.25">
      <c r="E25" s="139" t="s">
        <v>93</v>
      </c>
      <c r="F25" s="139" t="s">
        <v>58</v>
      </c>
      <c r="I25" s="147" t="s">
        <v>93</v>
      </c>
      <c r="J25" s="153" t="s">
        <v>58</v>
      </c>
      <c r="L25" s="137" t="s">
        <v>347</v>
      </c>
    </row>
    <row r="26" spans="5:12" x14ac:dyDescent="0.25">
      <c r="E26" s="137" t="s">
        <v>97</v>
      </c>
      <c r="F26" s="137" t="s">
        <v>58</v>
      </c>
      <c r="I26" s="147" t="s">
        <v>97</v>
      </c>
      <c r="J26" s="153" t="s">
        <v>58</v>
      </c>
      <c r="L26" s="139" t="s">
        <v>360</v>
      </c>
    </row>
    <row r="27" spans="5:12" x14ac:dyDescent="0.25">
      <c r="E27" s="139" t="s">
        <v>87</v>
      </c>
      <c r="F27" s="139" t="s">
        <v>56</v>
      </c>
      <c r="I27" s="156" t="s">
        <v>331</v>
      </c>
      <c r="J27" s="153"/>
      <c r="L27" s="137" t="s">
        <v>379</v>
      </c>
    </row>
    <row r="28" spans="5:12" x14ac:dyDescent="0.25">
      <c r="E28" s="137" t="s">
        <v>87</v>
      </c>
      <c r="F28" s="137" t="s">
        <v>58</v>
      </c>
      <c r="I28" s="147" t="s">
        <v>87</v>
      </c>
      <c r="J28" s="153" t="s">
        <v>56</v>
      </c>
      <c r="L28" s="139" t="s">
        <v>361</v>
      </c>
    </row>
    <row r="29" spans="5:12" x14ac:dyDescent="0.25">
      <c r="E29" s="139" t="s">
        <v>91</v>
      </c>
      <c r="F29" s="139" t="s">
        <v>56</v>
      </c>
      <c r="I29" s="147" t="s">
        <v>87</v>
      </c>
      <c r="J29" s="153" t="s">
        <v>58</v>
      </c>
      <c r="L29" s="137" t="s">
        <v>354</v>
      </c>
    </row>
    <row r="30" spans="5:12" x14ac:dyDescent="0.25">
      <c r="E30" s="137" t="s">
        <v>95</v>
      </c>
      <c r="F30" s="137" t="s">
        <v>56</v>
      </c>
      <c r="I30" s="147" t="s">
        <v>95</v>
      </c>
      <c r="J30" s="153" t="s">
        <v>56</v>
      </c>
      <c r="L30" s="139" t="s">
        <v>362</v>
      </c>
    </row>
    <row r="31" spans="5:12" x14ac:dyDescent="0.25">
      <c r="E31" s="139" t="s">
        <v>69</v>
      </c>
      <c r="F31" s="139" t="s">
        <v>165</v>
      </c>
      <c r="I31" s="156" t="s">
        <v>332</v>
      </c>
      <c r="J31" s="153"/>
      <c r="L31" s="137" t="s">
        <v>363</v>
      </c>
    </row>
    <row r="32" spans="5:12" x14ac:dyDescent="0.25">
      <c r="E32" s="137" t="s">
        <v>69</v>
      </c>
      <c r="F32" s="137" t="s">
        <v>61</v>
      </c>
      <c r="I32" s="147" t="s">
        <v>69</v>
      </c>
      <c r="J32" s="153" t="s">
        <v>165</v>
      </c>
      <c r="L32" s="139" t="s">
        <v>364</v>
      </c>
    </row>
    <row r="33" spans="5:12" x14ac:dyDescent="0.25">
      <c r="E33" s="139" t="s">
        <v>69</v>
      </c>
      <c r="F33" s="139" t="s">
        <v>58</v>
      </c>
      <c r="I33" s="147" t="s">
        <v>69</v>
      </c>
      <c r="J33" s="153" t="s">
        <v>61</v>
      </c>
      <c r="L33" s="137" t="s">
        <v>380</v>
      </c>
    </row>
    <row r="34" spans="5:12" x14ac:dyDescent="0.25">
      <c r="E34" s="137" t="s">
        <v>69</v>
      </c>
      <c r="F34" s="137" t="s">
        <v>57</v>
      </c>
      <c r="I34" s="147" t="s">
        <v>69</v>
      </c>
      <c r="J34" s="153" t="s">
        <v>58</v>
      </c>
      <c r="L34" s="139" t="s">
        <v>365</v>
      </c>
    </row>
    <row r="35" spans="5:12" x14ac:dyDescent="0.25">
      <c r="E35" s="139" t="s">
        <v>89</v>
      </c>
      <c r="F35" s="139" t="s">
        <v>163</v>
      </c>
      <c r="I35" s="147" t="s">
        <v>69</v>
      </c>
      <c r="J35" s="153" t="s">
        <v>57</v>
      </c>
      <c r="L35" s="137" t="s">
        <v>366</v>
      </c>
    </row>
    <row r="36" spans="5:12" x14ac:dyDescent="0.25">
      <c r="E36" s="137" t="s">
        <v>89</v>
      </c>
      <c r="F36" s="137" t="s">
        <v>60</v>
      </c>
      <c r="I36" s="147" t="s">
        <v>89</v>
      </c>
      <c r="J36" s="153" t="s">
        <v>163</v>
      </c>
      <c r="L36" s="139" t="s">
        <v>381</v>
      </c>
    </row>
    <row r="37" spans="5:12" x14ac:dyDescent="0.25">
      <c r="E37" s="139" t="s">
        <v>89</v>
      </c>
      <c r="F37" s="139" t="s">
        <v>166</v>
      </c>
      <c r="I37" s="147" t="s">
        <v>89</v>
      </c>
      <c r="J37" s="153" t="s">
        <v>60</v>
      </c>
      <c r="L37" s="137" t="s">
        <v>382</v>
      </c>
    </row>
    <row r="38" spans="5:12" x14ac:dyDescent="0.25">
      <c r="E38" s="137" t="s">
        <v>89</v>
      </c>
      <c r="F38" s="137" t="s">
        <v>62</v>
      </c>
      <c r="I38" s="147" t="s">
        <v>89</v>
      </c>
      <c r="J38" s="153" t="s">
        <v>166</v>
      </c>
      <c r="L38" s="139" t="s">
        <v>367</v>
      </c>
    </row>
    <row r="39" spans="5:12" x14ac:dyDescent="0.25">
      <c r="E39" s="139" t="s">
        <v>89</v>
      </c>
      <c r="F39" s="139" t="s">
        <v>61</v>
      </c>
      <c r="I39" s="147" t="s">
        <v>89</v>
      </c>
      <c r="J39" s="153" t="s">
        <v>62</v>
      </c>
      <c r="L39" s="137" t="s">
        <v>355</v>
      </c>
    </row>
    <row r="40" spans="5:12" x14ac:dyDescent="0.25">
      <c r="E40" s="137" t="s">
        <v>89</v>
      </c>
      <c r="F40" s="137" t="s">
        <v>57</v>
      </c>
      <c r="I40" s="147" t="s">
        <v>89</v>
      </c>
      <c r="J40" s="153" t="s">
        <v>61</v>
      </c>
      <c r="L40" s="139" t="s">
        <v>351</v>
      </c>
    </row>
    <row r="41" spans="5:12" x14ac:dyDescent="0.25">
      <c r="E41" s="139" t="s">
        <v>99</v>
      </c>
      <c r="F41" s="139" t="s">
        <v>57</v>
      </c>
      <c r="I41" s="147" t="s">
        <v>89</v>
      </c>
      <c r="J41" s="153" t="s">
        <v>57</v>
      </c>
      <c r="L41" s="137" t="s">
        <v>368</v>
      </c>
    </row>
    <row r="42" spans="5:12" x14ac:dyDescent="0.25">
      <c r="L42" s="139" t="s">
        <v>369</v>
      </c>
    </row>
    <row r="43" spans="5:12" x14ac:dyDescent="0.25">
      <c r="L43" s="137" t="s">
        <v>370</v>
      </c>
    </row>
    <row r="44" spans="5:12" x14ac:dyDescent="0.25">
      <c r="L44" s="139" t="s">
        <v>371</v>
      </c>
    </row>
    <row r="45" spans="5:12" x14ac:dyDescent="0.25">
      <c r="L45" s="137" t="s">
        <v>372</v>
      </c>
    </row>
    <row r="46" spans="5:12" x14ac:dyDescent="0.25">
      <c r="L46" s="139" t="s">
        <v>352</v>
      </c>
    </row>
    <row r="47" spans="5:12" x14ac:dyDescent="0.25">
      <c r="L47" s="137" t="s">
        <v>373</v>
      </c>
    </row>
    <row r="48" spans="5:12" x14ac:dyDescent="0.25">
      <c r="L48" s="139" t="s">
        <v>353</v>
      </c>
    </row>
    <row r="49" spans="12:12" x14ac:dyDescent="0.25">
      <c r="L49" s="137" t="s">
        <v>374</v>
      </c>
    </row>
    <row r="50" spans="12:12" x14ac:dyDescent="0.25">
      <c r="L50" s="139" t="s">
        <v>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 filterMode="1"/>
  <dimension ref="B1:J291"/>
  <sheetViews>
    <sheetView topLeftCell="A32" workbookViewId="0">
      <selection activeCell="B2" sqref="B2:J286"/>
    </sheetView>
  </sheetViews>
  <sheetFormatPr baseColWidth="10" defaultRowHeight="15" x14ac:dyDescent="0.25"/>
  <cols>
    <col min="2" max="2" width="50.42578125" bestFit="1" customWidth="1"/>
    <col min="3" max="3" width="12" bestFit="1" customWidth="1"/>
    <col min="4" max="5" width="7.42578125" bestFit="1" customWidth="1"/>
    <col min="6" max="7" width="7.5703125" bestFit="1" customWidth="1"/>
    <col min="8" max="8" width="7.42578125" bestFit="1" customWidth="1"/>
    <col min="9" max="9" width="7.28515625" bestFit="1" customWidth="1"/>
    <col min="10" max="10" width="29.140625" bestFit="1" customWidth="1"/>
  </cols>
  <sheetData>
    <row r="1" spans="2:10" ht="15.75" thickBot="1" x14ac:dyDescent="0.3"/>
    <row r="2" spans="2:10" ht="15.75" thickBot="1" x14ac:dyDescent="0.3">
      <c r="B2" s="131" t="s">
        <v>406</v>
      </c>
      <c r="C2" s="131" t="s">
        <v>407</v>
      </c>
      <c r="D2" s="131" t="s">
        <v>408</v>
      </c>
      <c r="E2" s="131" t="s">
        <v>409</v>
      </c>
      <c r="F2" s="131" t="s">
        <v>410</v>
      </c>
      <c r="G2" s="131" t="s">
        <v>411</v>
      </c>
      <c r="H2" s="131" t="s">
        <v>412</v>
      </c>
      <c r="I2" s="131" t="s">
        <v>137</v>
      </c>
      <c r="J2" s="131" t="s">
        <v>413</v>
      </c>
    </row>
    <row r="3" spans="2:10" ht="15.75" hidden="1" thickBot="1" x14ac:dyDescent="0.3">
      <c r="B3" s="130" t="s">
        <v>414</v>
      </c>
      <c r="C3" s="130" t="s">
        <v>415</v>
      </c>
      <c r="D3" s="3">
        <v>0.88</v>
      </c>
      <c r="E3" s="3">
        <v>2.16</v>
      </c>
      <c r="F3" s="3">
        <v>17.829999999999998</v>
      </c>
      <c r="G3" s="3">
        <v>2.64</v>
      </c>
      <c r="H3" s="3">
        <v>1.98</v>
      </c>
      <c r="I3" s="3">
        <v>25.49</v>
      </c>
      <c r="J3" s="3">
        <v>0.01</v>
      </c>
    </row>
    <row r="4" spans="2:10" ht="15.75" thickBot="1" x14ac:dyDescent="0.3">
      <c r="B4" s="130" t="s">
        <v>414</v>
      </c>
      <c r="C4" s="130" t="s">
        <v>416</v>
      </c>
      <c r="D4" s="3">
        <v>1.33</v>
      </c>
      <c r="E4" s="3">
        <v>1.33</v>
      </c>
      <c r="F4" s="3">
        <v>13.2</v>
      </c>
      <c r="G4" s="3">
        <v>6.67</v>
      </c>
      <c r="H4" s="3">
        <v>18.57</v>
      </c>
      <c r="I4" s="3">
        <v>41.1</v>
      </c>
      <c r="J4" s="3">
        <v>0.02</v>
      </c>
    </row>
    <row r="5" spans="2:10" ht="15.75" thickBot="1" x14ac:dyDescent="0.3">
      <c r="B5" s="130" t="s">
        <v>414</v>
      </c>
      <c r="C5" s="130" t="s">
        <v>417</v>
      </c>
      <c r="D5" s="3" t="s">
        <v>139</v>
      </c>
      <c r="E5" s="3" t="s">
        <v>139</v>
      </c>
      <c r="F5" s="3">
        <v>24.49</v>
      </c>
      <c r="G5" s="3">
        <v>9.7899999999999991</v>
      </c>
      <c r="H5" s="3">
        <v>14.69</v>
      </c>
      <c r="I5" s="3">
        <v>48.97</v>
      </c>
      <c r="J5" s="3">
        <v>0.02</v>
      </c>
    </row>
    <row r="6" spans="2:10" ht="15.75" hidden="1" thickBot="1" x14ac:dyDescent="0.3">
      <c r="B6" s="130" t="s">
        <v>418</v>
      </c>
      <c r="C6" s="130" t="s">
        <v>419</v>
      </c>
      <c r="D6" s="3">
        <v>4.78</v>
      </c>
      <c r="E6" s="3">
        <v>0.71</v>
      </c>
      <c r="F6" s="3">
        <v>31.8</v>
      </c>
      <c r="G6" s="3">
        <v>30.28</v>
      </c>
      <c r="H6" s="3">
        <v>33.93</v>
      </c>
      <c r="I6" s="3">
        <v>101.49</v>
      </c>
      <c r="J6" s="3">
        <v>0.05</v>
      </c>
    </row>
    <row r="7" spans="2:10" ht="15.75" hidden="1" thickBot="1" x14ac:dyDescent="0.3">
      <c r="B7" s="130" t="s">
        <v>420</v>
      </c>
      <c r="C7" s="130" t="s">
        <v>421</v>
      </c>
      <c r="D7" s="3">
        <v>0.43</v>
      </c>
      <c r="E7" s="3">
        <v>8.24</v>
      </c>
      <c r="F7" s="3">
        <v>49.18</v>
      </c>
      <c r="G7" s="3">
        <v>20.54</v>
      </c>
      <c r="H7" s="3">
        <v>34.229999999999997</v>
      </c>
      <c r="I7" s="3">
        <v>112.63</v>
      </c>
      <c r="J7" s="3">
        <v>0.06</v>
      </c>
    </row>
    <row r="8" spans="2:10" ht="15.75" hidden="1" thickBot="1" x14ac:dyDescent="0.3">
      <c r="B8" s="130" t="s">
        <v>422</v>
      </c>
      <c r="C8" s="130" t="s">
        <v>423</v>
      </c>
      <c r="D8" s="3" t="s">
        <v>139</v>
      </c>
      <c r="E8" s="3">
        <v>0.19</v>
      </c>
      <c r="F8" s="3">
        <v>0.39</v>
      </c>
      <c r="G8" s="3">
        <v>0.19</v>
      </c>
      <c r="H8" s="3">
        <v>0.39</v>
      </c>
      <c r="I8" s="3">
        <v>1.1599999999999999</v>
      </c>
      <c r="J8" s="3">
        <v>0</v>
      </c>
    </row>
    <row r="9" spans="2:10" ht="15.75" hidden="1" thickBot="1" x14ac:dyDescent="0.3">
      <c r="B9" s="130" t="s">
        <v>422</v>
      </c>
      <c r="C9" s="130" t="s">
        <v>424</v>
      </c>
      <c r="D9" s="3" t="s">
        <v>139</v>
      </c>
      <c r="E9" s="3">
        <v>2.88</v>
      </c>
      <c r="F9" s="3">
        <v>36.92</v>
      </c>
      <c r="G9" s="3">
        <v>25.39</v>
      </c>
      <c r="H9" s="3">
        <v>6.45</v>
      </c>
      <c r="I9" s="3">
        <v>71.64</v>
      </c>
      <c r="J9" s="3">
        <v>0.04</v>
      </c>
    </row>
    <row r="10" spans="2:10" ht="15.75" hidden="1" thickBot="1" x14ac:dyDescent="0.3">
      <c r="B10" s="130" t="s">
        <v>422</v>
      </c>
      <c r="C10" s="130" t="s">
        <v>425</v>
      </c>
      <c r="D10" s="3" t="s">
        <v>139</v>
      </c>
      <c r="E10" s="3">
        <v>3.03</v>
      </c>
      <c r="F10" s="3">
        <v>4.29</v>
      </c>
      <c r="G10" s="3">
        <v>5.13</v>
      </c>
      <c r="H10" s="3">
        <v>1.59</v>
      </c>
      <c r="I10" s="3">
        <v>14.04</v>
      </c>
      <c r="J10" s="3">
        <v>0</v>
      </c>
    </row>
    <row r="11" spans="2:10" ht="15.75" thickBot="1" x14ac:dyDescent="0.3">
      <c r="B11" s="130" t="s">
        <v>422</v>
      </c>
      <c r="C11" s="130" t="s">
        <v>426</v>
      </c>
      <c r="D11" s="3">
        <v>4.2300000000000004</v>
      </c>
      <c r="E11" s="3" t="s">
        <v>139</v>
      </c>
      <c r="F11" s="3">
        <v>35.67</v>
      </c>
      <c r="G11" s="3">
        <v>14.71</v>
      </c>
      <c r="H11" s="3">
        <v>18.53</v>
      </c>
      <c r="I11" s="3">
        <v>73.150000000000006</v>
      </c>
      <c r="J11" s="3">
        <v>0.04</v>
      </c>
    </row>
    <row r="12" spans="2:10" ht="15.75" hidden="1" thickBot="1" x14ac:dyDescent="0.3">
      <c r="B12" s="130" t="s">
        <v>427</v>
      </c>
      <c r="C12" s="130" t="s">
        <v>428</v>
      </c>
      <c r="D12" s="3" t="s">
        <v>139</v>
      </c>
      <c r="E12" s="3" t="s">
        <v>139</v>
      </c>
      <c r="F12" s="3">
        <v>4.8099999999999996</v>
      </c>
      <c r="G12" s="3">
        <v>2.4700000000000002</v>
      </c>
      <c r="H12" s="3">
        <v>4.55</v>
      </c>
      <c r="I12" s="3">
        <v>11.83</v>
      </c>
      <c r="J12" s="3">
        <v>0</v>
      </c>
    </row>
    <row r="13" spans="2:10" ht="15.75" hidden="1" thickBot="1" x14ac:dyDescent="0.3">
      <c r="B13" s="130" t="s">
        <v>429</v>
      </c>
      <c r="C13" s="130" t="s">
        <v>430</v>
      </c>
      <c r="D13" s="3" t="s">
        <v>139</v>
      </c>
      <c r="E13" s="3">
        <v>0.33</v>
      </c>
      <c r="F13" s="3">
        <v>7.02</v>
      </c>
      <c r="G13" s="3">
        <v>3.84</v>
      </c>
      <c r="H13" s="3">
        <v>5.28</v>
      </c>
      <c r="I13" s="3">
        <v>16.48</v>
      </c>
      <c r="J13" s="3">
        <v>0</v>
      </c>
    </row>
    <row r="14" spans="2:10" ht="15.75" hidden="1" thickBot="1" x14ac:dyDescent="0.3">
      <c r="B14" s="130" t="s">
        <v>429</v>
      </c>
      <c r="C14" s="130" t="s">
        <v>431</v>
      </c>
      <c r="D14" s="3">
        <v>0.24</v>
      </c>
      <c r="E14" s="3">
        <v>32.24</v>
      </c>
      <c r="F14" s="3">
        <v>152.66</v>
      </c>
      <c r="G14" s="3">
        <v>57.63</v>
      </c>
      <c r="H14" s="3">
        <v>44.57</v>
      </c>
      <c r="I14" s="3">
        <v>287.33999999999997</v>
      </c>
      <c r="J14" s="3">
        <v>0.16</v>
      </c>
    </row>
    <row r="15" spans="2:10" ht="15.75" thickBot="1" x14ac:dyDescent="0.3">
      <c r="B15" s="130" t="s">
        <v>429</v>
      </c>
      <c r="C15" s="130" t="s">
        <v>432</v>
      </c>
      <c r="D15" s="3" t="s">
        <v>139</v>
      </c>
      <c r="E15" s="3" t="s">
        <v>139</v>
      </c>
      <c r="F15" s="3" t="s">
        <v>139</v>
      </c>
      <c r="G15" s="3" t="s">
        <v>139</v>
      </c>
      <c r="H15" s="3">
        <v>1.23</v>
      </c>
      <c r="I15" s="3">
        <v>1.23</v>
      </c>
      <c r="J15" s="3">
        <v>0</v>
      </c>
    </row>
    <row r="16" spans="2:10" ht="15.75" hidden="1" thickBot="1" x14ac:dyDescent="0.3">
      <c r="B16" s="130" t="s">
        <v>433</v>
      </c>
      <c r="C16" s="130" t="s">
        <v>434</v>
      </c>
      <c r="D16" s="3" t="s">
        <v>139</v>
      </c>
      <c r="E16" s="3" t="s">
        <v>139</v>
      </c>
      <c r="F16" s="3">
        <v>0.43</v>
      </c>
      <c r="G16" s="3">
        <v>1.44</v>
      </c>
      <c r="H16" s="3">
        <v>0.43</v>
      </c>
      <c r="I16" s="3">
        <v>2.31</v>
      </c>
      <c r="J16" s="3">
        <v>0</v>
      </c>
    </row>
    <row r="17" spans="2:10" ht="15.75" thickBot="1" x14ac:dyDescent="0.3">
      <c r="B17" s="130" t="s">
        <v>435</v>
      </c>
      <c r="C17" s="130" t="s">
        <v>436</v>
      </c>
      <c r="D17" s="3" t="s">
        <v>139</v>
      </c>
      <c r="E17" s="3" t="s">
        <v>139</v>
      </c>
      <c r="F17" s="3">
        <v>1.81</v>
      </c>
      <c r="G17" s="3">
        <v>1.6</v>
      </c>
      <c r="H17" s="3">
        <v>4.9000000000000004</v>
      </c>
      <c r="I17" s="3">
        <v>8.31</v>
      </c>
      <c r="J17" s="3">
        <v>0</v>
      </c>
    </row>
    <row r="18" spans="2:10" ht="15.75" hidden="1" thickBot="1" x14ac:dyDescent="0.3">
      <c r="B18" s="130" t="s">
        <v>437</v>
      </c>
      <c r="C18" s="130" t="s">
        <v>438</v>
      </c>
      <c r="D18" s="3" t="s">
        <v>139</v>
      </c>
      <c r="E18" s="3">
        <v>0.16</v>
      </c>
      <c r="F18" s="3">
        <v>0.32</v>
      </c>
      <c r="G18" s="3" t="s">
        <v>139</v>
      </c>
      <c r="H18" s="3">
        <v>0.64</v>
      </c>
      <c r="I18" s="3">
        <v>1.1100000000000001</v>
      </c>
      <c r="J18" s="3">
        <v>0</v>
      </c>
    </row>
    <row r="19" spans="2:10" ht="15.75" hidden="1" thickBot="1" x14ac:dyDescent="0.3">
      <c r="B19" s="130" t="s">
        <v>439</v>
      </c>
      <c r="C19" s="130" t="s">
        <v>440</v>
      </c>
      <c r="D19" s="3">
        <v>8.23</v>
      </c>
      <c r="E19" s="3">
        <v>15.36</v>
      </c>
      <c r="F19" s="3">
        <v>45.44</v>
      </c>
      <c r="G19" s="3">
        <v>16.059999999999999</v>
      </c>
      <c r="H19" s="3">
        <v>2.41</v>
      </c>
      <c r="I19" s="3">
        <v>87.5</v>
      </c>
      <c r="J19" s="3">
        <v>0.04</v>
      </c>
    </row>
    <row r="20" spans="2:10" ht="15.75" hidden="1" thickBot="1" x14ac:dyDescent="0.3">
      <c r="B20" s="130" t="s">
        <v>439</v>
      </c>
      <c r="C20" s="130" t="s">
        <v>441</v>
      </c>
      <c r="D20" s="3">
        <v>0.47</v>
      </c>
      <c r="E20" s="3">
        <v>3.17</v>
      </c>
      <c r="F20" s="3">
        <v>49.83</v>
      </c>
      <c r="G20" s="3">
        <v>13.91</v>
      </c>
      <c r="H20" s="3">
        <v>10.43</v>
      </c>
      <c r="I20" s="3">
        <v>77.81</v>
      </c>
      <c r="J20" s="3">
        <v>0.04</v>
      </c>
    </row>
    <row r="21" spans="2:10" ht="15.75" hidden="1" thickBot="1" x14ac:dyDescent="0.3">
      <c r="B21" s="130" t="s">
        <v>439</v>
      </c>
      <c r="C21" s="130" t="s">
        <v>442</v>
      </c>
      <c r="D21" s="3" t="s">
        <v>139</v>
      </c>
      <c r="E21" s="3" t="s">
        <v>139</v>
      </c>
      <c r="F21" s="3">
        <v>20.440000000000001</v>
      </c>
      <c r="G21" s="3">
        <v>18.489999999999998</v>
      </c>
      <c r="H21" s="3">
        <v>7.77</v>
      </c>
      <c r="I21" s="3">
        <v>46.7</v>
      </c>
      <c r="J21" s="3">
        <v>0.02</v>
      </c>
    </row>
    <row r="22" spans="2:10" ht="15.75" hidden="1" thickBot="1" x14ac:dyDescent="0.3">
      <c r="B22" s="130" t="s">
        <v>443</v>
      </c>
      <c r="C22" s="130" t="s">
        <v>444</v>
      </c>
      <c r="D22" s="3">
        <v>1.6</v>
      </c>
      <c r="E22" s="3">
        <v>3.67</v>
      </c>
      <c r="F22" s="3">
        <v>2.44</v>
      </c>
      <c r="G22" s="3">
        <v>0.24</v>
      </c>
      <c r="H22" s="3">
        <v>0.18</v>
      </c>
      <c r="I22" s="3">
        <v>8.14</v>
      </c>
      <c r="J22" s="3">
        <v>0</v>
      </c>
    </row>
    <row r="23" spans="2:10" ht="15.75" hidden="1" thickBot="1" x14ac:dyDescent="0.3">
      <c r="B23" s="130" t="s">
        <v>443</v>
      </c>
      <c r="C23" s="130" t="s">
        <v>445</v>
      </c>
      <c r="D23" s="3" t="s">
        <v>139</v>
      </c>
      <c r="E23" s="3">
        <v>0.09</v>
      </c>
      <c r="F23" s="3">
        <v>0.14000000000000001</v>
      </c>
      <c r="G23" s="3">
        <v>0.23</v>
      </c>
      <c r="H23" s="3">
        <v>0.68</v>
      </c>
      <c r="I23" s="3">
        <v>1.1299999999999999</v>
      </c>
      <c r="J23" s="3">
        <v>0</v>
      </c>
    </row>
    <row r="24" spans="2:10" ht="15.75" hidden="1" thickBot="1" x14ac:dyDescent="0.3">
      <c r="B24" s="130" t="s">
        <v>443</v>
      </c>
      <c r="C24" s="130" t="s">
        <v>446</v>
      </c>
      <c r="D24" s="3">
        <v>0.7</v>
      </c>
      <c r="E24" s="3">
        <v>2.81</v>
      </c>
      <c r="F24" s="3">
        <v>15.67</v>
      </c>
      <c r="G24" s="3">
        <v>13.33</v>
      </c>
      <c r="H24" s="3">
        <v>10.8</v>
      </c>
      <c r="I24" s="3">
        <v>43.3</v>
      </c>
      <c r="J24" s="3">
        <v>0.02</v>
      </c>
    </row>
    <row r="25" spans="2:10" ht="15.75" hidden="1" thickBot="1" x14ac:dyDescent="0.3">
      <c r="B25" s="130" t="s">
        <v>443</v>
      </c>
      <c r="C25" s="130" t="s">
        <v>447</v>
      </c>
      <c r="D25" s="3">
        <v>0.43</v>
      </c>
      <c r="E25" s="3">
        <v>2.2999999999999998</v>
      </c>
      <c r="F25" s="3">
        <v>10.27</v>
      </c>
      <c r="G25" s="3">
        <v>6.02</v>
      </c>
      <c r="H25" s="3">
        <v>7.15</v>
      </c>
      <c r="I25" s="3">
        <v>26.17</v>
      </c>
      <c r="J25" s="3">
        <v>0.01</v>
      </c>
    </row>
    <row r="26" spans="2:10" ht="15.75" hidden="1" thickBot="1" x14ac:dyDescent="0.3">
      <c r="B26" s="130" t="s">
        <v>448</v>
      </c>
      <c r="C26" s="130" t="s">
        <v>449</v>
      </c>
      <c r="D26" s="3">
        <v>7.42</v>
      </c>
      <c r="E26" s="3">
        <v>20.100000000000001</v>
      </c>
      <c r="F26" s="3">
        <v>154.41999999999999</v>
      </c>
      <c r="G26" s="3">
        <v>36.520000000000003</v>
      </c>
      <c r="H26" s="3">
        <v>101.53</v>
      </c>
      <c r="I26" s="3">
        <v>320</v>
      </c>
      <c r="J26" s="3">
        <v>0.18</v>
      </c>
    </row>
    <row r="27" spans="2:10" ht="15.75" hidden="1" thickBot="1" x14ac:dyDescent="0.3">
      <c r="B27" s="130" t="s">
        <v>448</v>
      </c>
      <c r="C27" s="130" t="s">
        <v>450</v>
      </c>
      <c r="D27" s="3">
        <v>1.63</v>
      </c>
      <c r="E27" s="3">
        <v>7.09</v>
      </c>
      <c r="F27" s="3">
        <v>37.74</v>
      </c>
      <c r="G27" s="3">
        <v>14.31</v>
      </c>
      <c r="H27" s="3">
        <v>16.59</v>
      </c>
      <c r="I27" s="3">
        <v>77.349999999999994</v>
      </c>
      <c r="J27" s="3">
        <v>0.04</v>
      </c>
    </row>
    <row r="28" spans="2:10" ht="15.75" hidden="1" thickBot="1" x14ac:dyDescent="0.3">
      <c r="B28" s="130" t="s">
        <v>448</v>
      </c>
      <c r="C28" s="130" t="s">
        <v>451</v>
      </c>
      <c r="D28" s="3" t="s">
        <v>139</v>
      </c>
      <c r="E28" s="3">
        <v>1.5</v>
      </c>
      <c r="F28" s="3">
        <v>22.44</v>
      </c>
      <c r="G28" s="3">
        <v>4.59</v>
      </c>
      <c r="H28" s="3">
        <v>10.94</v>
      </c>
      <c r="I28" s="3">
        <v>39.46</v>
      </c>
      <c r="J28" s="3">
        <v>0.02</v>
      </c>
    </row>
    <row r="29" spans="2:10" ht="15.75" hidden="1" thickBot="1" x14ac:dyDescent="0.3">
      <c r="B29" s="130" t="s">
        <v>448</v>
      </c>
      <c r="C29" s="130" t="s">
        <v>452</v>
      </c>
      <c r="D29" s="3" t="s">
        <v>139</v>
      </c>
      <c r="E29" s="3">
        <v>1.45</v>
      </c>
      <c r="F29" s="3">
        <v>17.59</v>
      </c>
      <c r="G29" s="3">
        <v>13.78</v>
      </c>
      <c r="H29" s="3">
        <v>1.83</v>
      </c>
      <c r="I29" s="3">
        <v>34.64</v>
      </c>
      <c r="J29" s="3">
        <v>0.01</v>
      </c>
    </row>
    <row r="30" spans="2:10" ht="15.75" hidden="1" thickBot="1" x14ac:dyDescent="0.3">
      <c r="B30" s="130" t="s">
        <v>448</v>
      </c>
      <c r="C30" s="130" t="s">
        <v>453</v>
      </c>
      <c r="D30" s="3" t="s">
        <v>139</v>
      </c>
      <c r="E30" s="3">
        <v>2.23</v>
      </c>
      <c r="F30" s="3">
        <v>3.96</v>
      </c>
      <c r="G30" s="3">
        <v>4.21</v>
      </c>
      <c r="H30" s="3">
        <v>3.46</v>
      </c>
      <c r="I30" s="3">
        <v>13.86</v>
      </c>
      <c r="J30" s="3">
        <v>0</v>
      </c>
    </row>
    <row r="31" spans="2:10" ht="15.75" hidden="1" thickBot="1" x14ac:dyDescent="0.3">
      <c r="B31" s="130" t="s">
        <v>448</v>
      </c>
      <c r="C31" s="130" t="s">
        <v>454</v>
      </c>
      <c r="D31" s="3" t="s">
        <v>139</v>
      </c>
      <c r="E31" s="3" t="s">
        <v>139</v>
      </c>
      <c r="F31" s="3">
        <v>0.03</v>
      </c>
      <c r="G31" s="3" t="s">
        <v>139</v>
      </c>
      <c r="H31" s="3" t="s">
        <v>139</v>
      </c>
      <c r="I31" s="3">
        <v>0.03</v>
      </c>
      <c r="J31" s="3">
        <v>0</v>
      </c>
    </row>
    <row r="32" spans="2:10" ht="15.75" thickBot="1" x14ac:dyDescent="0.3">
      <c r="B32" s="130" t="s">
        <v>448</v>
      </c>
      <c r="C32" s="130" t="s">
        <v>455</v>
      </c>
      <c r="D32" s="3" t="s">
        <v>139</v>
      </c>
      <c r="E32" s="3" t="s">
        <v>139</v>
      </c>
      <c r="F32" s="3">
        <v>0.32</v>
      </c>
      <c r="G32" s="3">
        <v>0.32</v>
      </c>
      <c r="H32" s="3">
        <v>0.43</v>
      </c>
      <c r="I32" s="3">
        <v>1.08</v>
      </c>
      <c r="J32" s="3">
        <v>0</v>
      </c>
    </row>
    <row r="33" spans="2:10" ht="15.75" thickBot="1" x14ac:dyDescent="0.3">
      <c r="B33" s="130" t="s">
        <v>448</v>
      </c>
      <c r="C33" s="130" t="s">
        <v>456</v>
      </c>
      <c r="D33" s="3">
        <v>2.06</v>
      </c>
      <c r="E33" s="3" t="s">
        <v>139</v>
      </c>
      <c r="F33" s="3">
        <v>14.96</v>
      </c>
      <c r="G33" s="3">
        <v>10.84</v>
      </c>
      <c r="H33" s="3">
        <v>13.42</v>
      </c>
      <c r="I33" s="3">
        <v>41.28</v>
      </c>
      <c r="J33" s="3">
        <v>0.02</v>
      </c>
    </row>
    <row r="34" spans="2:10" ht="15.75" hidden="1" thickBot="1" x14ac:dyDescent="0.3">
      <c r="B34" s="130" t="s">
        <v>457</v>
      </c>
      <c r="C34" s="130" t="s">
        <v>458</v>
      </c>
      <c r="D34" s="3">
        <v>11.73</v>
      </c>
      <c r="E34" s="3">
        <v>15.42</v>
      </c>
      <c r="F34" s="3">
        <v>33.700000000000003</v>
      </c>
      <c r="G34" s="3">
        <v>11.36</v>
      </c>
      <c r="H34" s="3">
        <v>26.01</v>
      </c>
      <c r="I34" s="3">
        <v>98.22</v>
      </c>
      <c r="J34" s="3">
        <v>0.05</v>
      </c>
    </row>
    <row r="35" spans="2:10" ht="15.75" hidden="1" thickBot="1" x14ac:dyDescent="0.3">
      <c r="B35" s="128" t="s">
        <v>459</v>
      </c>
      <c r="C35" s="130"/>
      <c r="D35" s="3">
        <v>46.18</v>
      </c>
      <c r="E35" s="3">
        <v>126.45</v>
      </c>
      <c r="F35" s="3">
        <v>810.2</v>
      </c>
      <c r="G35" s="3">
        <v>346.53</v>
      </c>
      <c r="H35" s="3">
        <v>405.61</v>
      </c>
      <c r="I35" s="129">
        <v>1734.97</v>
      </c>
      <c r="J35" s="3">
        <v>0.98</v>
      </c>
    </row>
    <row r="36" spans="2:10" ht="15.75" hidden="1" thickBot="1" x14ac:dyDescent="0.3">
      <c r="B36" s="130" t="s">
        <v>460</v>
      </c>
      <c r="C36" s="130" t="s">
        <v>461</v>
      </c>
      <c r="D36" s="3">
        <v>3.21</v>
      </c>
      <c r="E36" s="3">
        <v>4.13</v>
      </c>
      <c r="F36" s="3">
        <v>9.4499999999999993</v>
      </c>
      <c r="G36" s="3">
        <v>3.67</v>
      </c>
      <c r="H36" s="3">
        <v>3.67</v>
      </c>
      <c r="I36" s="3">
        <v>24.12</v>
      </c>
      <c r="J36" s="3">
        <v>0.01</v>
      </c>
    </row>
    <row r="37" spans="2:10" ht="15.75" hidden="1" thickBot="1" x14ac:dyDescent="0.3">
      <c r="B37" s="130" t="s">
        <v>462</v>
      </c>
      <c r="C37" s="130" t="s">
        <v>463</v>
      </c>
      <c r="D37" s="3">
        <v>0.45</v>
      </c>
      <c r="E37" s="3">
        <v>12.84</v>
      </c>
      <c r="F37" s="3">
        <v>18.75</v>
      </c>
      <c r="G37" s="3">
        <v>14.2</v>
      </c>
      <c r="H37" s="3">
        <v>54.71</v>
      </c>
      <c r="I37" s="3">
        <v>100.95</v>
      </c>
      <c r="J37" s="3">
        <v>0.05</v>
      </c>
    </row>
    <row r="38" spans="2:10" ht="15.75" thickBot="1" x14ac:dyDescent="0.3">
      <c r="B38" s="130" t="s">
        <v>462</v>
      </c>
      <c r="C38" s="130" t="s">
        <v>464</v>
      </c>
      <c r="D38" s="3" t="s">
        <v>139</v>
      </c>
      <c r="E38" s="3">
        <v>3.15</v>
      </c>
      <c r="F38" s="3">
        <v>18.41</v>
      </c>
      <c r="G38" s="3">
        <v>15.73</v>
      </c>
      <c r="H38" s="3">
        <v>17.579999999999998</v>
      </c>
      <c r="I38" s="3">
        <v>54.87</v>
      </c>
      <c r="J38" s="3">
        <v>0.03</v>
      </c>
    </row>
    <row r="39" spans="2:10" ht="15.75" thickBot="1" x14ac:dyDescent="0.3">
      <c r="B39" s="130" t="s">
        <v>462</v>
      </c>
      <c r="C39" s="130" t="s">
        <v>465</v>
      </c>
      <c r="D39" s="3" t="s">
        <v>139</v>
      </c>
      <c r="E39" s="3">
        <v>3.83</v>
      </c>
      <c r="F39" s="3">
        <v>17.37</v>
      </c>
      <c r="G39" s="3">
        <v>11.39</v>
      </c>
      <c r="H39" s="3">
        <v>10.73</v>
      </c>
      <c r="I39" s="3">
        <v>43.31</v>
      </c>
      <c r="J39" s="3">
        <v>0.02</v>
      </c>
    </row>
    <row r="40" spans="2:10" ht="15.75" hidden="1" thickBot="1" x14ac:dyDescent="0.3">
      <c r="B40" s="130" t="s">
        <v>466</v>
      </c>
      <c r="C40" s="130" t="s">
        <v>467</v>
      </c>
      <c r="D40" s="3" t="s">
        <v>139</v>
      </c>
      <c r="E40" s="3">
        <v>1.81</v>
      </c>
      <c r="F40" s="3">
        <v>1.98</v>
      </c>
      <c r="G40" s="3">
        <v>25.55</v>
      </c>
      <c r="H40" s="3">
        <v>9.59</v>
      </c>
      <c r="I40" s="3">
        <v>38.92</v>
      </c>
      <c r="J40" s="3">
        <v>0.02</v>
      </c>
    </row>
    <row r="41" spans="2:10" ht="15.75" hidden="1" thickBot="1" x14ac:dyDescent="0.3">
      <c r="B41" s="130" t="s">
        <v>466</v>
      </c>
      <c r="C41" s="130" t="s">
        <v>468</v>
      </c>
      <c r="D41" s="3">
        <v>2.1</v>
      </c>
      <c r="E41" s="3">
        <v>6.31</v>
      </c>
      <c r="F41" s="3">
        <v>6.87</v>
      </c>
      <c r="G41" s="3">
        <v>6.67</v>
      </c>
      <c r="H41" s="3">
        <v>6.27</v>
      </c>
      <c r="I41" s="3">
        <v>28.22</v>
      </c>
      <c r="J41" s="3">
        <v>0.01</v>
      </c>
    </row>
    <row r="42" spans="2:10" ht="15.75" hidden="1" thickBot="1" x14ac:dyDescent="0.3">
      <c r="B42" s="130" t="s">
        <v>466</v>
      </c>
      <c r="C42" s="130" t="s">
        <v>469</v>
      </c>
      <c r="D42" s="3">
        <v>0.89</v>
      </c>
      <c r="E42" s="3">
        <v>6.7</v>
      </c>
      <c r="F42" s="3">
        <v>19.02</v>
      </c>
      <c r="G42" s="3">
        <v>9.15</v>
      </c>
      <c r="H42" s="3">
        <v>11.86</v>
      </c>
      <c r="I42" s="3">
        <v>47.62</v>
      </c>
      <c r="J42" s="3">
        <v>0.02</v>
      </c>
    </row>
    <row r="43" spans="2:10" ht="15.75" hidden="1" thickBot="1" x14ac:dyDescent="0.3">
      <c r="B43" s="130" t="s">
        <v>466</v>
      </c>
      <c r="C43" s="130" t="s">
        <v>470</v>
      </c>
      <c r="D43" s="3" t="s">
        <v>139</v>
      </c>
      <c r="E43" s="3" t="s">
        <v>139</v>
      </c>
      <c r="F43" s="3" t="s">
        <v>139</v>
      </c>
      <c r="G43" s="3" t="s">
        <v>139</v>
      </c>
      <c r="H43" s="3">
        <v>16.23</v>
      </c>
      <c r="I43" s="3">
        <v>16.23</v>
      </c>
      <c r="J43" s="3">
        <v>0</v>
      </c>
    </row>
    <row r="44" spans="2:10" ht="15.75" hidden="1" thickBot="1" x14ac:dyDescent="0.3">
      <c r="B44" s="130" t="s">
        <v>466</v>
      </c>
      <c r="C44" s="130" t="s">
        <v>471</v>
      </c>
      <c r="D44" s="3">
        <v>0.31</v>
      </c>
      <c r="E44" s="3">
        <v>0.54</v>
      </c>
      <c r="F44" s="3">
        <v>1.23</v>
      </c>
      <c r="G44" s="3">
        <v>6.46</v>
      </c>
      <c r="H44" s="3">
        <v>30.98</v>
      </c>
      <c r="I44" s="3">
        <v>39.51</v>
      </c>
      <c r="J44" s="3">
        <v>0.02</v>
      </c>
    </row>
    <row r="45" spans="2:10" ht="15.75" hidden="1" thickBot="1" x14ac:dyDescent="0.3">
      <c r="B45" s="128" t="s">
        <v>472</v>
      </c>
      <c r="C45" s="130"/>
      <c r="D45" s="3">
        <v>6.96</v>
      </c>
      <c r="E45" s="3">
        <v>39.299999999999997</v>
      </c>
      <c r="F45" s="3">
        <v>93.07</v>
      </c>
      <c r="G45" s="3">
        <v>92.82</v>
      </c>
      <c r="H45" s="3">
        <v>161.6</v>
      </c>
      <c r="I45" s="3">
        <v>393.76</v>
      </c>
      <c r="J45" s="3">
        <v>0.22</v>
      </c>
    </row>
    <row r="46" spans="2:10" ht="15.75" hidden="1" thickBot="1" x14ac:dyDescent="0.3">
      <c r="B46" s="130" t="s">
        <v>473</v>
      </c>
      <c r="C46" s="130" t="s">
        <v>474</v>
      </c>
      <c r="D46" s="3" t="s">
        <v>139</v>
      </c>
      <c r="E46" s="3">
        <v>3.51</v>
      </c>
      <c r="F46" s="3">
        <v>7.01</v>
      </c>
      <c r="G46" s="3">
        <v>5.26</v>
      </c>
      <c r="H46" s="3">
        <v>3.07</v>
      </c>
      <c r="I46" s="3">
        <v>18.850000000000001</v>
      </c>
      <c r="J46" s="3">
        <v>0.01</v>
      </c>
    </row>
    <row r="47" spans="2:10" ht="15.75" hidden="1" thickBot="1" x14ac:dyDescent="0.3">
      <c r="B47" s="130" t="s">
        <v>473</v>
      </c>
      <c r="C47" s="130" t="s">
        <v>475</v>
      </c>
      <c r="D47" s="3" t="s">
        <v>139</v>
      </c>
      <c r="E47" s="3">
        <v>3.8</v>
      </c>
      <c r="F47" s="3">
        <v>5.07</v>
      </c>
      <c r="G47" s="3">
        <v>1.69</v>
      </c>
      <c r="H47" s="3" t="s">
        <v>139</v>
      </c>
      <c r="I47" s="3">
        <v>10.56</v>
      </c>
      <c r="J47" s="3">
        <v>0</v>
      </c>
    </row>
    <row r="48" spans="2:10" ht="15.75" hidden="1" thickBot="1" x14ac:dyDescent="0.3">
      <c r="B48" s="130" t="s">
        <v>473</v>
      </c>
      <c r="C48" s="130" t="s">
        <v>476</v>
      </c>
      <c r="D48" s="3">
        <v>0.01</v>
      </c>
      <c r="E48" s="3">
        <v>0.31</v>
      </c>
      <c r="F48" s="3">
        <v>1.21</v>
      </c>
      <c r="G48" s="3">
        <v>0.73</v>
      </c>
      <c r="H48" s="3">
        <v>0.04</v>
      </c>
      <c r="I48" s="3">
        <v>2.2799999999999998</v>
      </c>
      <c r="J48" s="3">
        <v>0</v>
      </c>
    </row>
    <row r="49" spans="2:10" ht="15.75" hidden="1" thickBot="1" x14ac:dyDescent="0.3">
      <c r="B49" s="130" t="s">
        <v>473</v>
      </c>
      <c r="C49" s="130" t="s">
        <v>477</v>
      </c>
      <c r="D49" s="3" t="s">
        <v>139</v>
      </c>
      <c r="E49" s="3">
        <v>0.98</v>
      </c>
      <c r="F49" s="3">
        <v>17.55</v>
      </c>
      <c r="G49" s="3">
        <v>11.76</v>
      </c>
      <c r="H49" s="3">
        <v>9.07</v>
      </c>
      <c r="I49" s="3">
        <v>39.36</v>
      </c>
      <c r="J49" s="3">
        <v>0.02</v>
      </c>
    </row>
    <row r="50" spans="2:10" ht="15.75" hidden="1" thickBot="1" x14ac:dyDescent="0.3">
      <c r="B50" s="130" t="s">
        <v>473</v>
      </c>
      <c r="C50" s="130" t="s">
        <v>478</v>
      </c>
      <c r="D50" s="3">
        <v>4.3600000000000003</v>
      </c>
      <c r="E50" s="3">
        <v>15.25</v>
      </c>
      <c r="F50" s="3">
        <v>15.97</v>
      </c>
      <c r="G50" s="3">
        <v>1.21</v>
      </c>
      <c r="H50" s="3" t="s">
        <v>139</v>
      </c>
      <c r="I50" s="3">
        <v>36.79</v>
      </c>
      <c r="J50" s="3">
        <v>0.02</v>
      </c>
    </row>
    <row r="51" spans="2:10" ht="15.75" hidden="1" thickBot="1" x14ac:dyDescent="0.3">
      <c r="B51" s="130" t="s">
        <v>473</v>
      </c>
      <c r="C51" s="130" t="s">
        <v>479</v>
      </c>
      <c r="D51" s="3" t="s">
        <v>139</v>
      </c>
      <c r="E51" s="3">
        <v>0.92</v>
      </c>
      <c r="F51" s="3">
        <v>6.37</v>
      </c>
      <c r="G51" s="3">
        <v>5.01</v>
      </c>
      <c r="H51" s="3">
        <v>4.33</v>
      </c>
      <c r="I51" s="3">
        <v>16.63</v>
      </c>
      <c r="J51" s="3">
        <v>0</v>
      </c>
    </row>
    <row r="52" spans="2:10" ht="15.75" hidden="1" thickBot="1" x14ac:dyDescent="0.3">
      <c r="B52" s="130" t="s">
        <v>473</v>
      </c>
      <c r="C52" s="130" t="s">
        <v>480</v>
      </c>
      <c r="D52" s="3">
        <v>0.2</v>
      </c>
      <c r="E52" s="3">
        <v>0.88</v>
      </c>
      <c r="F52" s="3">
        <v>12.06</v>
      </c>
      <c r="G52" s="3">
        <v>6.38</v>
      </c>
      <c r="H52" s="3">
        <v>6.33</v>
      </c>
      <c r="I52" s="3">
        <v>25.84</v>
      </c>
      <c r="J52" s="3">
        <v>0.01</v>
      </c>
    </row>
    <row r="53" spans="2:10" ht="15.75" hidden="1" thickBot="1" x14ac:dyDescent="0.3">
      <c r="B53" s="130" t="s">
        <v>473</v>
      </c>
      <c r="C53" s="130" t="s">
        <v>481</v>
      </c>
      <c r="D53" s="3">
        <v>0.1</v>
      </c>
      <c r="E53" s="3">
        <v>2.79</v>
      </c>
      <c r="F53" s="3">
        <v>3.85</v>
      </c>
      <c r="G53" s="3">
        <v>2.17</v>
      </c>
      <c r="H53" s="3">
        <v>1.97</v>
      </c>
      <c r="I53" s="3">
        <v>10.88</v>
      </c>
      <c r="J53" s="3">
        <v>0</v>
      </c>
    </row>
    <row r="54" spans="2:10" ht="15.75" hidden="1" thickBot="1" x14ac:dyDescent="0.3">
      <c r="B54" s="130" t="s">
        <v>473</v>
      </c>
      <c r="C54" s="130" t="s">
        <v>482</v>
      </c>
      <c r="D54" s="3">
        <v>0.05</v>
      </c>
      <c r="E54" s="3">
        <v>3.43</v>
      </c>
      <c r="F54" s="3">
        <v>19</v>
      </c>
      <c r="G54" s="3">
        <v>5.63</v>
      </c>
      <c r="H54" s="3">
        <v>5.77</v>
      </c>
      <c r="I54" s="3">
        <v>33.880000000000003</v>
      </c>
      <c r="J54" s="3">
        <v>0.01</v>
      </c>
    </row>
    <row r="55" spans="2:10" ht="15.75" hidden="1" thickBot="1" x14ac:dyDescent="0.3">
      <c r="B55" s="130" t="s">
        <v>473</v>
      </c>
      <c r="C55" s="130" t="s">
        <v>483</v>
      </c>
      <c r="D55" s="3" t="s">
        <v>139</v>
      </c>
      <c r="E55" s="3">
        <v>0.23</v>
      </c>
      <c r="F55" s="3">
        <v>7.27</v>
      </c>
      <c r="G55" s="3">
        <v>6.5</v>
      </c>
      <c r="H55" s="3">
        <v>11.45</v>
      </c>
      <c r="I55" s="3">
        <v>25.45</v>
      </c>
      <c r="J55" s="3">
        <v>0.01</v>
      </c>
    </row>
    <row r="56" spans="2:10" ht="15.75" hidden="1" thickBot="1" x14ac:dyDescent="0.3">
      <c r="B56" s="130" t="s">
        <v>473</v>
      </c>
      <c r="C56" s="130" t="s">
        <v>484</v>
      </c>
      <c r="D56" s="3" t="s">
        <v>139</v>
      </c>
      <c r="E56" s="3" t="s">
        <v>139</v>
      </c>
      <c r="F56" s="3">
        <v>4.8499999999999996</v>
      </c>
      <c r="G56" s="3">
        <v>2.95</v>
      </c>
      <c r="H56" s="3">
        <v>5.0599999999999996</v>
      </c>
      <c r="I56" s="3">
        <v>12.87</v>
      </c>
      <c r="J56" s="3">
        <v>0</v>
      </c>
    </row>
    <row r="57" spans="2:10" ht="15.75" hidden="1" thickBot="1" x14ac:dyDescent="0.3">
      <c r="B57" s="130" t="s">
        <v>485</v>
      </c>
      <c r="C57" s="130" t="s">
        <v>486</v>
      </c>
      <c r="D57" s="3">
        <v>1.8</v>
      </c>
      <c r="E57" s="3">
        <v>2.25</v>
      </c>
      <c r="F57" s="3">
        <v>8.31</v>
      </c>
      <c r="G57" s="3">
        <v>3.82</v>
      </c>
      <c r="H57" s="3">
        <v>0.67</v>
      </c>
      <c r="I57" s="3">
        <v>16.84</v>
      </c>
      <c r="J57" s="3">
        <v>0</v>
      </c>
    </row>
    <row r="58" spans="2:10" ht="15.75" hidden="1" thickBot="1" x14ac:dyDescent="0.3">
      <c r="B58" s="130" t="s">
        <v>487</v>
      </c>
      <c r="C58" s="130" t="s">
        <v>488</v>
      </c>
      <c r="D58" s="3">
        <v>0.46</v>
      </c>
      <c r="E58" s="3">
        <v>0.46</v>
      </c>
      <c r="F58" s="3">
        <v>17.559999999999999</v>
      </c>
      <c r="G58" s="3">
        <v>6.47</v>
      </c>
      <c r="H58" s="3">
        <v>7.86</v>
      </c>
      <c r="I58" s="3">
        <v>32.81</v>
      </c>
      <c r="J58" s="3">
        <v>0.01</v>
      </c>
    </row>
    <row r="59" spans="2:10" ht="15.75" hidden="1" thickBot="1" x14ac:dyDescent="0.3">
      <c r="B59" s="130" t="s">
        <v>487</v>
      </c>
      <c r="C59" s="130" t="s">
        <v>489</v>
      </c>
      <c r="D59" s="3">
        <v>11.24</v>
      </c>
      <c r="E59" s="3">
        <v>17.98</v>
      </c>
      <c r="F59" s="3">
        <v>150.6</v>
      </c>
      <c r="G59" s="3">
        <v>42.15</v>
      </c>
      <c r="H59" s="3">
        <v>31.47</v>
      </c>
      <c r="I59" s="3">
        <v>253.44</v>
      </c>
      <c r="J59" s="3">
        <v>0.14000000000000001</v>
      </c>
    </row>
    <row r="60" spans="2:10" ht="15.75" hidden="1" thickBot="1" x14ac:dyDescent="0.3">
      <c r="B60" s="130" t="s">
        <v>490</v>
      </c>
      <c r="C60" s="130" t="s">
        <v>491</v>
      </c>
      <c r="D60" s="3" t="s">
        <v>139</v>
      </c>
      <c r="E60" s="3" t="s">
        <v>139</v>
      </c>
      <c r="F60" s="3" t="s">
        <v>139</v>
      </c>
      <c r="G60" s="3" t="s">
        <v>139</v>
      </c>
      <c r="H60" s="3">
        <v>0.61</v>
      </c>
      <c r="I60" s="3">
        <v>0.61</v>
      </c>
      <c r="J60" s="3">
        <v>0</v>
      </c>
    </row>
    <row r="61" spans="2:10" ht="15.75" hidden="1" thickBot="1" x14ac:dyDescent="0.3">
      <c r="B61" s="130" t="s">
        <v>490</v>
      </c>
      <c r="C61" s="130" t="s">
        <v>492</v>
      </c>
      <c r="D61" s="3" t="s">
        <v>139</v>
      </c>
      <c r="E61" s="3" t="s">
        <v>139</v>
      </c>
      <c r="F61" s="3" t="s">
        <v>139</v>
      </c>
      <c r="G61" s="3" t="s">
        <v>139</v>
      </c>
      <c r="H61" s="3">
        <v>6.26</v>
      </c>
      <c r="I61" s="3">
        <v>6.26</v>
      </c>
      <c r="J61" s="3">
        <v>0</v>
      </c>
    </row>
    <row r="62" spans="2:10" ht="15.75" hidden="1" thickBot="1" x14ac:dyDescent="0.3">
      <c r="B62" s="130" t="s">
        <v>493</v>
      </c>
      <c r="C62" s="130" t="s">
        <v>494</v>
      </c>
      <c r="D62" s="3" t="s">
        <v>139</v>
      </c>
      <c r="E62" s="3" t="s">
        <v>139</v>
      </c>
      <c r="F62" s="3" t="s">
        <v>139</v>
      </c>
      <c r="G62" s="3" t="s">
        <v>139</v>
      </c>
      <c r="H62" s="3">
        <v>0.01</v>
      </c>
      <c r="I62" s="3">
        <v>0.01</v>
      </c>
      <c r="J62" s="3">
        <v>0</v>
      </c>
    </row>
    <row r="63" spans="2:10" ht="15.75" hidden="1" thickBot="1" x14ac:dyDescent="0.3">
      <c r="B63" s="130" t="s">
        <v>493</v>
      </c>
      <c r="C63" s="130" t="s">
        <v>495</v>
      </c>
      <c r="D63" s="3" t="s">
        <v>139</v>
      </c>
      <c r="E63" s="3">
        <v>0.46</v>
      </c>
      <c r="F63" s="3">
        <v>0.35</v>
      </c>
      <c r="G63" s="3">
        <v>0.28999999999999998</v>
      </c>
      <c r="H63" s="3">
        <v>0.41</v>
      </c>
      <c r="I63" s="3">
        <v>1.51</v>
      </c>
      <c r="J63" s="3">
        <v>0</v>
      </c>
    </row>
    <row r="64" spans="2:10" ht="15.75" hidden="1" thickBot="1" x14ac:dyDescent="0.3">
      <c r="B64" s="130" t="s">
        <v>493</v>
      </c>
      <c r="C64" s="130" t="s">
        <v>496</v>
      </c>
      <c r="D64" s="3" t="s">
        <v>139</v>
      </c>
      <c r="E64" s="3" t="s">
        <v>139</v>
      </c>
      <c r="F64" s="3" t="s">
        <v>139</v>
      </c>
      <c r="G64" s="3" t="s">
        <v>139</v>
      </c>
      <c r="H64" s="3">
        <v>0.11</v>
      </c>
      <c r="I64" s="3">
        <v>0.11</v>
      </c>
      <c r="J64" s="3">
        <v>0</v>
      </c>
    </row>
    <row r="65" spans="2:10" ht="15.75" hidden="1" thickBot="1" x14ac:dyDescent="0.3">
      <c r="B65" s="130" t="s">
        <v>493</v>
      </c>
      <c r="C65" s="130" t="s">
        <v>497</v>
      </c>
      <c r="D65" s="3">
        <v>0.23</v>
      </c>
      <c r="E65" s="3">
        <v>1.1399999999999999</v>
      </c>
      <c r="F65" s="3">
        <v>2.0099999999999998</v>
      </c>
      <c r="G65" s="3">
        <v>0.73</v>
      </c>
      <c r="H65" s="3">
        <v>1.1399999999999999</v>
      </c>
      <c r="I65" s="3">
        <v>5.25</v>
      </c>
      <c r="J65" s="3">
        <v>0</v>
      </c>
    </row>
    <row r="66" spans="2:10" ht="15.75" hidden="1" thickBot="1" x14ac:dyDescent="0.3">
      <c r="B66" s="130" t="s">
        <v>498</v>
      </c>
      <c r="C66" s="130" t="s">
        <v>499</v>
      </c>
      <c r="D66" s="3" t="s">
        <v>139</v>
      </c>
      <c r="E66" s="3" t="s">
        <v>139</v>
      </c>
      <c r="F66" s="3" t="s">
        <v>139</v>
      </c>
      <c r="G66" s="3" t="s">
        <v>139</v>
      </c>
      <c r="H66" s="3">
        <v>3.92</v>
      </c>
      <c r="I66" s="3">
        <v>3.92</v>
      </c>
      <c r="J66" s="3">
        <v>0</v>
      </c>
    </row>
    <row r="67" spans="2:10" ht="15.75" hidden="1" thickBot="1" x14ac:dyDescent="0.3">
      <c r="B67" s="130" t="s">
        <v>498</v>
      </c>
      <c r="C67" s="130" t="s">
        <v>500</v>
      </c>
      <c r="D67" s="3">
        <v>0.23</v>
      </c>
      <c r="E67" s="3">
        <v>1.07</v>
      </c>
      <c r="F67" s="3">
        <v>0.77</v>
      </c>
      <c r="G67" s="3">
        <v>0.38</v>
      </c>
      <c r="H67" s="3">
        <v>0.79</v>
      </c>
      <c r="I67" s="3">
        <v>3.24</v>
      </c>
      <c r="J67" s="3">
        <v>0</v>
      </c>
    </row>
    <row r="68" spans="2:10" ht="15.75" hidden="1" thickBot="1" x14ac:dyDescent="0.3">
      <c r="B68" s="130" t="s">
        <v>501</v>
      </c>
      <c r="C68" s="130" t="s">
        <v>502</v>
      </c>
      <c r="D68" s="3">
        <v>0.02</v>
      </c>
      <c r="E68" s="3">
        <v>0.16</v>
      </c>
      <c r="F68" s="3">
        <v>0.22</v>
      </c>
      <c r="G68" s="3">
        <v>0.08</v>
      </c>
      <c r="H68" s="3">
        <v>0.16</v>
      </c>
      <c r="I68" s="3">
        <v>0.62</v>
      </c>
      <c r="J68" s="3">
        <v>0</v>
      </c>
    </row>
    <row r="69" spans="2:10" ht="15.75" hidden="1" thickBot="1" x14ac:dyDescent="0.3">
      <c r="B69" s="130" t="s">
        <v>503</v>
      </c>
      <c r="C69" s="130" t="s">
        <v>504</v>
      </c>
      <c r="D69" s="3" t="s">
        <v>139</v>
      </c>
      <c r="E69" s="3" t="s">
        <v>139</v>
      </c>
      <c r="F69" s="3">
        <v>0.3</v>
      </c>
      <c r="G69" s="3" t="s">
        <v>139</v>
      </c>
      <c r="H69" s="3">
        <v>0.05</v>
      </c>
      <c r="I69" s="3">
        <v>0.35</v>
      </c>
      <c r="J69" s="3">
        <v>0</v>
      </c>
    </row>
    <row r="70" spans="2:10" ht="15.75" hidden="1" thickBot="1" x14ac:dyDescent="0.3">
      <c r="B70" s="130" t="s">
        <v>503</v>
      </c>
      <c r="C70" s="130" t="s">
        <v>505</v>
      </c>
      <c r="D70" s="3">
        <v>0.5</v>
      </c>
      <c r="E70" s="3">
        <v>3.47</v>
      </c>
      <c r="F70" s="3">
        <v>1.78</v>
      </c>
      <c r="G70" s="3">
        <v>0.99</v>
      </c>
      <c r="H70" s="3">
        <v>1.39</v>
      </c>
      <c r="I70" s="3">
        <v>8.1300000000000008</v>
      </c>
      <c r="J70" s="3">
        <v>0</v>
      </c>
    </row>
    <row r="71" spans="2:10" ht="15.75" hidden="1" thickBot="1" x14ac:dyDescent="0.3">
      <c r="B71" s="130" t="s">
        <v>503</v>
      </c>
      <c r="C71" s="130" t="s">
        <v>506</v>
      </c>
      <c r="D71" s="3" t="s">
        <v>139</v>
      </c>
      <c r="E71" s="3">
        <v>0.5</v>
      </c>
      <c r="F71" s="3">
        <v>0.7</v>
      </c>
      <c r="G71" s="3">
        <v>0.31</v>
      </c>
      <c r="H71" s="3">
        <v>0.36</v>
      </c>
      <c r="I71" s="3">
        <v>1.87</v>
      </c>
      <c r="J71" s="3">
        <v>0</v>
      </c>
    </row>
    <row r="72" spans="2:10" ht="15.75" hidden="1" thickBot="1" x14ac:dyDescent="0.3">
      <c r="B72" s="130" t="s">
        <v>507</v>
      </c>
      <c r="C72" s="130" t="s">
        <v>508</v>
      </c>
      <c r="D72" s="3" t="s">
        <v>139</v>
      </c>
      <c r="E72" s="3">
        <v>0.31</v>
      </c>
      <c r="F72" s="3">
        <v>0.39</v>
      </c>
      <c r="G72" s="3">
        <v>0.16</v>
      </c>
      <c r="H72" s="3">
        <v>0.16</v>
      </c>
      <c r="I72" s="3">
        <v>1.01</v>
      </c>
      <c r="J72" s="3">
        <v>0</v>
      </c>
    </row>
    <row r="73" spans="2:10" ht="15.75" hidden="1" thickBot="1" x14ac:dyDescent="0.3">
      <c r="B73" s="130" t="s">
        <v>507</v>
      </c>
      <c r="C73" s="130" t="s">
        <v>509</v>
      </c>
      <c r="D73" s="3">
        <v>0.21</v>
      </c>
      <c r="E73" s="3">
        <v>0.73</v>
      </c>
      <c r="F73" s="3">
        <v>0.44</v>
      </c>
      <c r="G73" s="3">
        <v>0.15</v>
      </c>
      <c r="H73" s="3">
        <v>0.59</v>
      </c>
      <c r="I73" s="3">
        <v>2.11</v>
      </c>
      <c r="J73" s="3">
        <v>0</v>
      </c>
    </row>
    <row r="74" spans="2:10" ht="15.75" hidden="1" thickBot="1" x14ac:dyDescent="0.3">
      <c r="B74" s="130" t="s">
        <v>510</v>
      </c>
      <c r="C74" s="130" t="s">
        <v>511</v>
      </c>
      <c r="D74" s="3" t="s">
        <v>139</v>
      </c>
      <c r="E74" s="3">
        <v>0.23</v>
      </c>
      <c r="F74" s="3">
        <v>0.69</v>
      </c>
      <c r="G74" s="3">
        <v>12.83</v>
      </c>
      <c r="H74" s="3">
        <v>22.92</v>
      </c>
      <c r="I74" s="3">
        <v>36.67</v>
      </c>
      <c r="J74" s="3">
        <v>0.02</v>
      </c>
    </row>
    <row r="75" spans="2:10" ht="15.75" hidden="1" thickBot="1" x14ac:dyDescent="0.3">
      <c r="B75" s="130" t="s">
        <v>510</v>
      </c>
      <c r="C75" s="130" t="s">
        <v>512</v>
      </c>
      <c r="D75" s="3">
        <v>2.86</v>
      </c>
      <c r="E75" s="3">
        <v>7.34</v>
      </c>
      <c r="F75" s="3">
        <v>27.09</v>
      </c>
      <c r="G75" s="3">
        <v>22.27</v>
      </c>
      <c r="H75" s="3">
        <v>12.11</v>
      </c>
      <c r="I75" s="3">
        <v>71.67</v>
      </c>
      <c r="J75" s="3">
        <v>0.04</v>
      </c>
    </row>
    <row r="76" spans="2:10" ht="15.75" hidden="1" thickBot="1" x14ac:dyDescent="0.3">
      <c r="B76" s="130" t="s">
        <v>510</v>
      </c>
      <c r="C76" s="130" t="s">
        <v>513</v>
      </c>
      <c r="D76" s="3">
        <v>6.49</v>
      </c>
      <c r="E76" s="3">
        <v>8.76</v>
      </c>
      <c r="F76" s="3">
        <v>31.28</v>
      </c>
      <c r="G76" s="3">
        <v>16.75</v>
      </c>
      <c r="H76" s="3">
        <v>11.86</v>
      </c>
      <c r="I76" s="3">
        <v>75.14</v>
      </c>
      <c r="J76" s="3">
        <v>0.04</v>
      </c>
    </row>
    <row r="77" spans="2:10" ht="15.75" hidden="1" thickBot="1" x14ac:dyDescent="0.3">
      <c r="B77" s="130" t="s">
        <v>510</v>
      </c>
      <c r="C77" s="130" t="s">
        <v>514</v>
      </c>
      <c r="D77" s="3" t="s">
        <v>139</v>
      </c>
      <c r="E77" s="3" t="s">
        <v>139</v>
      </c>
      <c r="F77" s="3">
        <v>1.59</v>
      </c>
      <c r="G77" s="3">
        <v>1.59</v>
      </c>
      <c r="H77" s="3" t="s">
        <v>139</v>
      </c>
      <c r="I77" s="3">
        <v>3.19</v>
      </c>
      <c r="J77" s="3">
        <v>0</v>
      </c>
    </row>
    <row r="78" spans="2:10" ht="15.75" hidden="1" thickBot="1" x14ac:dyDescent="0.3">
      <c r="B78" s="130" t="s">
        <v>510</v>
      </c>
      <c r="C78" s="130" t="s">
        <v>515</v>
      </c>
      <c r="D78" s="3" t="s">
        <v>139</v>
      </c>
      <c r="E78" s="3">
        <v>0.38</v>
      </c>
      <c r="F78" s="3">
        <v>1.1399999999999999</v>
      </c>
      <c r="G78" s="3">
        <v>0.76</v>
      </c>
      <c r="H78" s="3">
        <v>1.53</v>
      </c>
      <c r="I78" s="3">
        <v>3.81</v>
      </c>
      <c r="J78" s="3">
        <v>0</v>
      </c>
    </row>
    <row r="79" spans="2:10" ht="15.75" thickBot="1" x14ac:dyDescent="0.3">
      <c r="B79" s="130" t="s">
        <v>510</v>
      </c>
      <c r="C79" s="130" t="s">
        <v>516</v>
      </c>
      <c r="D79" s="3" t="s">
        <v>139</v>
      </c>
      <c r="E79" s="3">
        <v>0.55000000000000004</v>
      </c>
      <c r="F79" s="3">
        <v>0.68</v>
      </c>
      <c r="G79" s="3">
        <v>0.28000000000000003</v>
      </c>
      <c r="H79" s="3">
        <v>0.28000000000000003</v>
      </c>
      <c r="I79" s="3">
        <v>1.78</v>
      </c>
      <c r="J79" s="3">
        <v>0</v>
      </c>
    </row>
    <row r="80" spans="2:10" ht="15.75" thickBot="1" x14ac:dyDescent="0.3">
      <c r="B80" s="130" t="s">
        <v>510</v>
      </c>
      <c r="C80" s="130" t="s">
        <v>517</v>
      </c>
      <c r="D80" s="3" t="s">
        <v>139</v>
      </c>
      <c r="E80" s="3">
        <v>11.2</v>
      </c>
      <c r="F80" s="3">
        <v>97.58</v>
      </c>
      <c r="G80" s="3">
        <v>41.43</v>
      </c>
      <c r="H80" s="3">
        <v>45.28</v>
      </c>
      <c r="I80" s="3">
        <v>195.49</v>
      </c>
      <c r="J80" s="3">
        <v>0.11</v>
      </c>
    </row>
    <row r="81" spans="2:10" ht="15.75" thickBot="1" x14ac:dyDescent="0.3">
      <c r="B81" s="130" t="s">
        <v>510</v>
      </c>
      <c r="C81" s="130" t="s">
        <v>518</v>
      </c>
      <c r="D81" s="3" t="s">
        <v>139</v>
      </c>
      <c r="E81" s="3">
        <v>4.43</v>
      </c>
      <c r="F81" s="3">
        <v>30.37</v>
      </c>
      <c r="G81" s="3">
        <v>17.64</v>
      </c>
      <c r="H81" s="3">
        <v>15</v>
      </c>
      <c r="I81" s="3">
        <v>67.430000000000007</v>
      </c>
      <c r="J81" s="3">
        <v>0.03</v>
      </c>
    </row>
    <row r="82" spans="2:10" ht="15.75" thickBot="1" x14ac:dyDescent="0.3">
      <c r="B82" s="130" t="s">
        <v>510</v>
      </c>
      <c r="C82" s="130" t="s">
        <v>519</v>
      </c>
      <c r="D82" s="3" t="s">
        <v>139</v>
      </c>
      <c r="E82" s="3" t="s">
        <v>139</v>
      </c>
      <c r="F82" s="3">
        <v>17.73</v>
      </c>
      <c r="G82" s="3">
        <v>8.06</v>
      </c>
      <c r="H82" s="3">
        <v>10.53</v>
      </c>
      <c r="I82" s="3">
        <v>36.32</v>
      </c>
      <c r="J82" s="3">
        <v>0.02</v>
      </c>
    </row>
    <row r="83" spans="2:10" ht="15.75" hidden="1" thickBot="1" x14ac:dyDescent="0.3">
      <c r="B83" s="130" t="s">
        <v>520</v>
      </c>
      <c r="C83" s="130" t="s">
        <v>521</v>
      </c>
      <c r="D83" s="3">
        <v>0.51</v>
      </c>
      <c r="E83" s="3">
        <v>2.74</v>
      </c>
      <c r="F83" s="3">
        <v>3.71</v>
      </c>
      <c r="G83" s="3">
        <v>1.39</v>
      </c>
      <c r="H83" s="3">
        <v>3.57</v>
      </c>
      <c r="I83" s="3">
        <v>11.92</v>
      </c>
      <c r="J83" s="3">
        <v>0</v>
      </c>
    </row>
    <row r="84" spans="2:10" ht="15.75" hidden="1" thickBot="1" x14ac:dyDescent="0.3">
      <c r="B84" s="130" t="s">
        <v>522</v>
      </c>
      <c r="C84" s="130" t="s">
        <v>523</v>
      </c>
      <c r="D84" s="3" t="s">
        <v>139</v>
      </c>
      <c r="E84" s="3">
        <v>4.67</v>
      </c>
      <c r="F84" s="3">
        <v>5</v>
      </c>
      <c r="G84" s="3">
        <v>8.75</v>
      </c>
      <c r="H84" s="3">
        <v>13.16</v>
      </c>
      <c r="I84" s="3">
        <v>31.57</v>
      </c>
      <c r="J84" s="3">
        <v>0.01</v>
      </c>
    </row>
    <row r="85" spans="2:10" ht="15.75" hidden="1" thickBot="1" x14ac:dyDescent="0.3">
      <c r="B85" s="130" t="s">
        <v>522</v>
      </c>
      <c r="C85" s="130" t="s">
        <v>524</v>
      </c>
      <c r="D85" s="3" t="s">
        <v>139</v>
      </c>
      <c r="E85" s="3">
        <v>2.31</v>
      </c>
      <c r="F85" s="3">
        <v>3.15</v>
      </c>
      <c r="G85" s="3">
        <v>1.04</v>
      </c>
      <c r="H85" s="3">
        <v>1.79</v>
      </c>
      <c r="I85" s="3">
        <v>8.2799999999999994</v>
      </c>
      <c r="J85" s="3">
        <v>0</v>
      </c>
    </row>
    <row r="86" spans="2:10" ht="15.75" hidden="1" thickBot="1" x14ac:dyDescent="0.3">
      <c r="B86" s="130" t="s">
        <v>525</v>
      </c>
      <c r="C86" s="130" t="s">
        <v>526</v>
      </c>
      <c r="D86" s="3">
        <v>0.22</v>
      </c>
      <c r="E86" s="3">
        <v>7.36</v>
      </c>
      <c r="F86" s="3">
        <v>24.33</v>
      </c>
      <c r="G86" s="3">
        <v>21.2</v>
      </c>
      <c r="H86" s="3">
        <v>7.59</v>
      </c>
      <c r="I86" s="3">
        <v>60.7</v>
      </c>
      <c r="J86" s="3">
        <v>0.03</v>
      </c>
    </row>
    <row r="87" spans="2:10" ht="15.75" hidden="1" thickBot="1" x14ac:dyDescent="0.3">
      <c r="B87" s="130" t="s">
        <v>525</v>
      </c>
      <c r="C87" s="130" t="s">
        <v>527</v>
      </c>
      <c r="D87" s="3" t="s">
        <v>139</v>
      </c>
      <c r="E87" s="3">
        <v>0.51</v>
      </c>
      <c r="F87" s="3">
        <v>0.51</v>
      </c>
      <c r="G87" s="3">
        <v>0.51</v>
      </c>
      <c r="H87" s="3">
        <v>0.76</v>
      </c>
      <c r="I87" s="3">
        <v>2.2799999999999998</v>
      </c>
      <c r="J87" s="3">
        <v>0</v>
      </c>
    </row>
    <row r="88" spans="2:10" ht="15.75" hidden="1" thickBot="1" x14ac:dyDescent="0.3">
      <c r="B88" s="130" t="s">
        <v>525</v>
      </c>
      <c r="C88" s="130" t="s">
        <v>528</v>
      </c>
      <c r="D88" s="3" t="s">
        <v>139</v>
      </c>
      <c r="E88" s="3">
        <v>1.97</v>
      </c>
      <c r="F88" s="3">
        <v>1.23</v>
      </c>
      <c r="G88" s="3">
        <v>0.74</v>
      </c>
      <c r="H88" s="3">
        <v>0.74</v>
      </c>
      <c r="I88" s="3">
        <v>4.67</v>
      </c>
      <c r="J88" s="3">
        <v>0</v>
      </c>
    </row>
    <row r="89" spans="2:10" ht="15.75" hidden="1" thickBot="1" x14ac:dyDescent="0.3">
      <c r="B89" s="130" t="s">
        <v>525</v>
      </c>
      <c r="C89" s="130" t="s">
        <v>529</v>
      </c>
      <c r="D89" s="3" t="s">
        <v>139</v>
      </c>
      <c r="E89" s="3" t="s">
        <v>139</v>
      </c>
      <c r="F89" s="3">
        <v>0.49</v>
      </c>
      <c r="G89" s="3" t="s">
        <v>139</v>
      </c>
      <c r="H89" s="3">
        <v>3.9</v>
      </c>
      <c r="I89" s="3">
        <v>4.3899999999999997</v>
      </c>
      <c r="J89" s="3">
        <v>0</v>
      </c>
    </row>
    <row r="90" spans="2:10" ht="15.75" hidden="1" thickBot="1" x14ac:dyDescent="0.3">
      <c r="B90" s="130" t="s">
        <v>525</v>
      </c>
      <c r="C90" s="130" t="s">
        <v>530</v>
      </c>
      <c r="D90" s="3" t="s">
        <v>139</v>
      </c>
      <c r="E90" s="3" t="s">
        <v>139</v>
      </c>
      <c r="F90" s="3">
        <v>1.0900000000000001</v>
      </c>
      <c r="G90" s="3">
        <v>0.55000000000000004</v>
      </c>
      <c r="H90" s="3" t="s">
        <v>139</v>
      </c>
      <c r="I90" s="3">
        <v>1.64</v>
      </c>
      <c r="J90" s="3">
        <v>0</v>
      </c>
    </row>
    <row r="91" spans="2:10" ht="15.75" hidden="1" thickBot="1" x14ac:dyDescent="0.3">
      <c r="B91" s="130" t="s">
        <v>525</v>
      </c>
      <c r="C91" s="130" t="s">
        <v>531</v>
      </c>
      <c r="D91" s="3" t="s">
        <v>139</v>
      </c>
      <c r="E91" s="3" t="s">
        <v>139</v>
      </c>
      <c r="F91" s="3">
        <v>1.18</v>
      </c>
      <c r="G91" s="3">
        <v>1.18</v>
      </c>
      <c r="H91" s="3">
        <v>7.06</v>
      </c>
      <c r="I91" s="3">
        <v>9.41</v>
      </c>
      <c r="J91" s="3">
        <v>0</v>
      </c>
    </row>
    <row r="92" spans="2:10" ht="15.75" hidden="1" thickBot="1" x14ac:dyDescent="0.3">
      <c r="B92" s="130" t="s">
        <v>525</v>
      </c>
      <c r="C92" s="130" t="s">
        <v>532</v>
      </c>
      <c r="D92" s="3" t="s">
        <v>139</v>
      </c>
      <c r="E92" s="3" t="s">
        <v>139</v>
      </c>
      <c r="F92" s="3">
        <v>2.0699999999999998</v>
      </c>
      <c r="G92" s="3" t="s">
        <v>139</v>
      </c>
      <c r="H92" s="3">
        <v>1.48</v>
      </c>
      <c r="I92" s="3">
        <v>3.54</v>
      </c>
      <c r="J92" s="3">
        <v>0</v>
      </c>
    </row>
    <row r="93" spans="2:10" ht="15.75" hidden="1" thickBot="1" x14ac:dyDescent="0.3">
      <c r="B93" s="130" t="s">
        <v>525</v>
      </c>
      <c r="C93" s="130" t="s">
        <v>533</v>
      </c>
      <c r="D93" s="3" t="s">
        <v>139</v>
      </c>
      <c r="E93" s="3">
        <v>6.72</v>
      </c>
      <c r="F93" s="3" t="s">
        <v>139</v>
      </c>
      <c r="G93" s="3">
        <v>0.57999999999999996</v>
      </c>
      <c r="H93" s="3">
        <v>0.57999999999999996</v>
      </c>
      <c r="I93" s="3">
        <v>7.89</v>
      </c>
      <c r="J93" s="3">
        <v>0</v>
      </c>
    </row>
    <row r="94" spans="2:10" ht="15.75" hidden="1" thickBot="1" x14ac:dyDescent="0.3">
      <c r="B94" s="130" t="s">
        <v>525</v>
      </c>
      <c r="C94" s="130" t="s">
        <v>534</v>
      </c>
      <c r="D94" s="3" t="s">
        <v>139</v>
      </c>
      <c r="E94" s="3" t="s">
        <v>139</v>
      </c>
      <c r="F94" s="3">
        <v>13.22</v>
      </c>
      <c r="G94" s="3">
        <v>0.6</v>
      </c>
      <c r="H94" s="3">
        <v>1.2</v>
      </c>
      <c r="I94" s="3">
        <v>15.03</v>
      </c>
      <c r="J94" s="3">
        <v>0</v>
      </c>
    </row>
    <row r="95" spans="2:10" ht="15.75" hidden="1" thickBot="1" x14ac:dyDescent="0.3">
      <c r="B95" s="130" t="s">
        <v>525</v>
      </c>
      <c r="C95" s="130" t="s">
        <v>535</v>
      </c>
      <c r="D95" s="3" t="s">
        <v>139</v>
      </c>
      <c r="E95" s="3" t="s">
        <v>139</v>
      </c>
      <c r="F95" s="3" t="s">
        <v>139</v>
      </c>
      <c r="G95" s="3">
        <v>5.88</v>
      </c>
      <c r="H95" s="3" t="s">
        <v>139</v>
      </c>
      <c r="I95" s="3">
        <v>5.88</v>
      </c>
      <c r="J95" s="3">
        <v>0</v>
      </c>
    </row>
    <row r="96" spans="2:10" ht="15.75" hidden="1" thickBot="1" x14ac:dyDescent="0.3">
      <c r="B96" s="130" t="s">
        <v>525</v>
      </c>
      <c r="C96" s="130" t="s">
        <v>536</v>
      </c>
      <c r="D96" s="3" t="s">
        <v>139</v>
      </c>
      <c r="E96" s="3">
        <v>10.41</v>
      </c>
      <c r="F96" s="3">
        <v>9.19</v>
      </c>
      <c r="G96" s="3">
        <v>5.82</v>
      </c>
      <c r="H96" s="3">
        <v>8.27</v>
      </c>
      <c r="I96" s="3">
        <v>33.69</v>
      </c>
      <c r="J96" s="3">
        <v>0.01</v>
      </c>
    </row>
    <row r="97" spans="2:10" ht="15.75" hidden="1" thickBot="1" x14ac:dyDescent="0.3">
      <c r="B97" s="130" t="s">
        <v>525</v>
      </c>
      <c r="C97" s="130" t="s">
        <v>537</v>
      </c>
      <c r="D97" s="3">
        <v>5.23</v>
      </c>
      <c r="E97" s="3">
        <v>6.4</v>
      </c>
      <c r="F97" s="3">
        <v>40.700000000000003</v>
      </c>
      <c r="G97" s="3">
        <v>9.3000000000000007</v>
      </c>
      <c r="H97" s="3">
        <v>18.61</v>
      </c>
      <c r="I97" s="3">
        <v>80.23</v>
      </c>
      <c r="J97" s="3">
        <v>0.04</v>
      </c>
    </row>
    <row r="98" spans="2:10" ht="15.75" hidden="1" thickBot="1" x14ac:dyDescent="0.3">
      <c r="B98" s="130" t="s">
        <v>525</v>
      </c>
      <c r="C98" s="130" t="s">
        <v>538</v>
      </c>
      <c r="D98" s="3">
        <v>2.56</v>
      </c>
      <c r="E98" s="3">
        <v>6.15</v>
      </c>
      <c r="F98" s="3">
        <v>18.71</v>
      </c>
      <c r="G98" s="3">
        <v>3.08</v>
      </c>
      <c r="H98" s="3" t="s">
        <v>139</v>
      </c>
      <c r="I98" s="3">
        <v>30.49</v>
      </c>
      <c r="J98" s="3">
        <v>0.01</v>
      </c>
    </row>
    <row r="99" spans="2:10" ht="15.75" hidden="1" thickBot="1" x14ac:dyDescent="0.3">
      <c r="B99" s="130" t="s">
        <v>525</v>
      </c>
      <c r="C99" s="130" t="s">
        <v>539</v>
      </c>
      <c r="D99" s="3" t="s">
        <v>139</v>
      </c>
      <c r="E99" s="3">
        <v>7.74</v>
      </c>
      <c r="F99" s="3">
        <v>14.41</v>
      </c>
      <c r="G99" s="3">
        <v>10.14</v>
      </c>
      <c r="H99" s="3">
        <v>8.01</v>
      </c>
      <c r="I99" s="3">
        <v>40.31</v>
      </c>
      <c r="J99" s="3">
        <v>0.02</v>
      </c>
    </row>
    <row r="100" spans="2:10" ht="15.75" hidden="1" thickBot="1" x14ac:dyDescent="0.3">
      <c r="B100" s="130" t="s">
        <v>525</v>
      </c>
      <c r="C100" s="130" t="s">
        <v>540</v>
      </c>
      <c r="D100" s="3">
        <v>1.75</v>
      </c>
      <c r="E100" s="3">
        <v>10.77</v>
      </c>
      <c r="F100" s="3">
        <v>71.12</v>
      </c>
      <c r="G100" s="3">
        <v>53.09</v>
      </c>
      <c r="H100" s="3">
        <v>36.31</v>
      </c>
      <c r="I100" s="3">
        <v>173.04</v>
      </c>
      <c r="J100" s="3">
        <v>0.09</v>
      </c>
    </row>
    <row r="101" spans="2:10" ht="15.75" hidden="1" thickBot="1" x14ac:dyDescent="0.3">
      <c r="B101" s="130" t="s">
        <v>525</v>
      </c>
      <c r="C101" s="130" t="s">
        <v>541</v>
      </c>
      <c r="D101" s="3" t="s">
        <v>139</v>
      </c>
      <c r="E101" s="3" t="s">
        <v>139</v>
      </c>
      <c r="F101" s="3">
        <v>0.25</v>
      </c>
      <c r="G101" s="3">
        <v>2.4500000000000002</v>
      </c>
      <c r="H101" s="3">
        <v>39.520000000000003</v>
      </c>
      <c r="I101" s="3">
        <v>42.22</v>
      </c>
      <c r="J101" s="3">
        <v>0.02</v>
      </c>
    </row>
    <row r="102" spans="2:10" ht="15.75" hidden="1" thickBot="1" x14ac:dyDescent="0.3">
      <c r="B102" s="130" t="s">
        <v>525</v>
      </c>
      <c r="C102" s="130" t="s">
        <v>542</v>
      </c>
      <c r="D102" s="3">
        <v>0.25</v>
      </c>
      <c r="E102" s="3">
        <v>0.5</v>
      </c>
      <c r="F102" s="3">
        <v>15.89</v>
      </c>
      <c r="G102" s="3">
        <v>14.64</v>
      </c>
      <c r="H102" s="3">
        <v>26.56</v>
      </c>
      <c r="I102" s="3">
        <v>57.83</v>
      </c>
      <c r="J102" s="3">
        <v>0.03</v>
      </c>
    </row>
    <row r="103" spans="2:10" ht="15.75" hidden="1" thickBot="1" x14ac:dyDescent="0.3">
      <c r="B103" s="130" t="s">
        <v>543</v>
      </c>
      <c r="C103" s="130" t="s">
        <v>544</v>
      </c>
      <c r="D103" s="3" t="s">
        <v>139</v>
      </c>
      <c r="E103" s="3">
        <v>3.25</v>
      </c>
      <c r="F103" s="3">
        <v>56.82</v>
      </c>
      <c r="G103" s="3">
        <v>14.2</v>
      </c>
      <c r="H103" s="3">
        <v>7.71</v>
      </c>
      <c r="I103" s="3">
        <v>81.98</v>
      </c>
      <c r="J103" s="3">
        <v>0.04</v>
      </c>
    </row>
    <row r="104" spans="2:10" ht="15.75" hidden="1" thickBot="1" x14ac:dyDescent="0.3">
      <c r="B104" s="130" t="s">
        <v>543</v>
      </c>
      <c r="C104" s="130" t="s">
        <v>545</v>
      </c>
      <c r="D104" s="3">
        <v>0.42</v>
      </c>
      <c r="E104" s="3" t="s">
        <v>139</v>
      </c>
      <c r="F104" s="3">
        <v>19.29</v>
      </c>
      <c r="G104" s="3">
        <v>10.48</v>
      </c>
      <c r="H104" s="3">
        <v>4.1900000000000004</v>
      </c>
      <c r="I104" s="3">
        <v>34.380000000000003</v>
      </c>
      <c r="J104" s="3">
        <v>0.01</v>
      </c>
    </row>
    <row r="105" spans="2:10" ht="15.75" hidden="1" thickBot="1" x14ac:dyDescent="0.3">
      <c r="B105" s="130" t="s">
        <v>543</v>
      </c>
      <c r="C105" s="130" t="s">
        <v>546</v>
      </c>
      <c r="D105" s="3" t="s">
        <v>139</v>
      </c>
      <c r="E105" s="3">
        <v>7.68</v>
      </c>
      <c r="F105" s="3">
        <v>43.09</v>
      </c>
      <c r="G105" s="3">
        <v>7.68</v>
      </c>
      <c r="H105" s="3">
        <v>8.5299999999999994</v>
      </c>
      <c r="I105" s="3">
        <v>66.98</v>
      </c>
      <c r="J105" s="3">
        <v>0.03</v>
      </c>
    </row>
    <row r="106" spans="2:10" ht="15.75" hidden="1" thickBot="1" x14ac:dyDescent="0.3">
      <c r="B106" s="130" t="s">
        <v>543</v>
      </c>
      <c r="C106" s="130" t="s">
        <v>547</v>
      </c>
      <c r="D106" s="3" t="s">
        <v>139</v>
      </c>
      <c r="E106" s="3">
        <v>3.61</v>
      </c>
      <c r="F106" s="3">
        <v>81.77</v>
      </c>
      <c r="G106" s="3">
        <v>10.39</v>
      </c>
      <c r="H106" s="3">
        <v>11.29</v>
      </c>
      <c r="I106" s="3">
        <v>107.07</v>
      </c>
      <c r="J106" s="3">
        <v>0.06</v>
      </c>
    </row>
    <row r="107" spans="2:10" ht="15.75" hidden="1" thickBot="1" x14ac:dyDescent="0.3">
      <c r="B107" s="130" t="s">
        <v>543</v>
      </c>
      <c r="C107" s="130" t="s">
        <v>548</v>
      </c>
      <c r="D107" s="3" t="s">
        <v>139</v>
      </c>
      <c r="E107" s="3">
        <v>2.86</v>
      </c>
      <c r="F107" s="3">
        <v>5.72</v>
      </c>
      <c r="G107" s="3">
        <v>8.11</v>
      </c>
      <c r="H107" s="3">
        <v>18.12</v>
      </c>
      <c r="I107" s="3">
        <v>34.81</v>
      </c>
      <c r="J107" s="3">
        <v>0.01</v>
      </c>
    </row>
    <row r="108" spans="2:10" ht="15.75" hidden="1" thickBot="1" x14ac:dyDescent="0.3">
      <c r="B108" s="130" t="s">
        <v>543</v>
      </c>
      <c r="C108" s="130" t="s">
        <v>549</v>
      </c>
      <c r="D108" s="3" t="s">
        <v>139</v>
      </c>
      <c r="E108" s="3" t="s">
        <v>139</v>
      </c>
      <c r="F108" s="3">
        <v>22.6</v>
      </c>
      <c r="G108" s="3">
        <v>1.88</v>
      </c>
      <c r="H108" s="3">
        <v>6.12</v>
      </c>
      <c r="I108" s="3">
        <v>30.6</v>
      </c>
      <c r="J108" s="3">
        <v>0.01</v>
      </c>
    </row>
    <row r="109" spans="2:10" ht="15.75" hidden="1" thickBot="1" x14ac:dyDescent="0.3">
      <c r="B109" s="130" t="s">
        <v>543</v>
      </c>
      <c r="C109" s="130" t="s">
        <v>550</v>
      </c>
      <c r="D109" s="3">
        <v>0.47</v>
      </c>
      <c r="E109" s="3">
        <v>8.84</v>
      </c>
      <c r="F109" s="3">
        <v>36.28</v>
      </c>
      <c r="G109" s="3">
        <v>8.3699999999999992</v>
      </c>
      <c r="H109" s="3">
        <v>16.28</v>
      </c>
      <c r="I109" s="3">
        <v>70.239999999999995</v>
      </c>
      <c r="J109" s="3">
        <v>0.03</v>
      </c>
    </row>
    <row r="110" spans="2:10" ht="15.75" hidden="1" thickBot="1" x14ac:dyDescent="0.3">
      <c r="B110" s="130" t="s">
        <v>543</v>
      </c>
      <c r="C110" s="130" t="s">
        <v>551</v>
      </c>
      <c r="D110" s="3" t="s">
        <v>139</v>
      </c>
      <c r="E110" s="3">
        <v>1.05</v>
      </c>
      <c r="F110" s="3">
        <v>3.71</v>
      </c>
      <c r="G110" s="3">
        <v>3.88</v>
      </c>
      <c r="H110" s="3">
        <v>0.34</v>
      </c>
      <c r="I110" s="3">
        <v>8.98</v>
      </c>
      <c r="J110" s="3">
        <v>0</v>
      </c>
    </row>
    <row r="111" spans="2:10" ht="15.75" hidden="1" thickBot="1" x14ac:dyDescent="0.3">
      <c r="B111" s="130" t="s">
        <v>543</v>
      </c>
      <c r="C111" s="130" t="s">
        <v>552</v>
      </c>
      <c r="D111" s="3">
        <v>0.23</v>
      </c>
      <c r="E111" s="3">
        <v>9.34</v>
      </c>
      <c r="F111" s="3">
        <v>22.01</v>
      </c>
      <c r="G111" s="3">
        <v>19.190000000000001</v>
      </c>
      <c r="H111" s="3">
        <v>34.11</v>
      </c>
      <c r="I111" s="3">
        <v>84.88</v>
      </c>
      <c r="J111" s="3">
        <v>0.04</v>
      </c>
    </row>
    <row r="112" spans="2:10" ht="15.75" hidden="1" thickBot="1" x14ac:dyDescent="0.3">
      <c r="B112" s="130" t="s">
        <v>543</v>
      </c>
      <c r="C112" s="130" t="s">
        <v>553</v>
      </c>
      <c r="D112" s="3">
        <v>7.36</v>
      </c>
      <c r="E112" s="3">
        <v>13.13</v>
      </c>
      <c r="F112" s="3">
        <v>66.17</v>
      </c>
      <c r="G112" s="3">
        <v>24.46</v>
      </c>
      <c r="H112" s="3">
        <v>22.77</v>
      </c>
      <c r="I112" s="3">
        <v>133.88</v>
      </c>
      <c r="J112" s="3">
        <v>7.0000000000000007E-2</v>
      </c>
    </row>
    <row r="113" spans="2:10" ht="15.75" hidden="1" thickBot="1" x14ac:dyDescent="0.3">
      <c r="B113" s="130" t="s">
        <v>543</v>
      </c>
      <c r="C113" s="130" t="s">
        <v>554</v>
      </c>
      <c r="D113" s="3">
        <v>0.46</v>
      </c>
      <c r="E113" s="3">
        <v>13.4</v>
      </c>
      <c r="F113" s="3">
        <v>43.54</v>
      </c>
      <c r="G113" s="3">
        <v>29.85</v>
      </c>
      <c r="H113" s="3">
        <v>41.49</v>
      </c>
      <c r="I113" s="3">
        <v>128.74</v>
      </c>
      <c r="J113" s="3">
        <v>7.0000000000000007E-2</v>
      </c>
    </row>
    <row r="114" spans="2:10" ht="15.75" hidden="1" thickBot="1" x14ac:dyDescent="0.3">
      <c r="B114" s="130" t="s">
        <v>543</v>
      </c>
      <c r="C114" s="130" t="s">
        <v>555</v>
      </c>
      <c r="D114" s="3">
        <v>0.09</v>
      </c>
      <c r="E114" s="3">
        <v>4.3</v>
      </c>
      <c r="F114" s="3">
        <v>9.69</v>
      </c>
      <c r="G114" s="3">
        <v>3.74</v>
      </c>
      <c r="H114" s="3">
        <v>23.45</v>
      </c>
      <c r="I114" s="3">
        <v>41.28</v>
      </c>
      <c r="J114" s="3">
        <v>0.02</v>
      </c>
    </row>
    <row r="115" spans="2:10" ht="15.75" hidden="1" thickBot="1" x14ac:dyDescent="0.3">
      <c r="B115" s="130" t="s">
        <v>543</v>
      </c>
      <c r="C115" s="130" t="s">
        <v>556</v>
      </c>
      <c r="D115" s="3" t="s">
        <v>139</v>
      </c>
      <c r="E115" s="3">
        <v>0.65</v>
      </c>
      <c r="F115" s="3">
        <v>9.19</v>
      </c>
      <c r="G115" s="3">
        <v>33.520000000000003</v>
      </c>
      <c r="H115" s="3">
        <v>76.31</v>
      </c>
      <c r="I115" s="3">
        <v>119.67</v>
      </c>
      <c r="J115" s="3">
        <v>0.06</v>
      </c>
    </row>
    <row r="116" spans="2:10" ht="15.75" thickBot="1" x14ac:dyDescent="0.3">
      <c r="B116" s="130" t="s">
        <v>543</v>
      </c>
      <c r="C116" s="130" t="s">
        <v>557</v>
      </c>
      <c r="D116" s="3">
        <v>3.35</v>
      </c>
      <c r="E116" s="3">
        <v>0.6</v>
      </c>
      <c r="F116" s="3">
        <v>16.84</v>
      </c>
      <c r="G116" s="3">
        <v>11.84</v>
      </c>
      <c r="H116" s="3">
        <v>11.1</v>
      </c>
      <c r="I116" s="3">
        <v>43.73</v>
      </c>
      <c r="J116" s="3">
        <v>0.02</v>
      </c>
    </row>
    <row r="117" spans="2:10" ht="15.75" hidden="1" thickBot="1" x14ac:dyDescent="0.3">
      <c r="B117" s="130" t="s">
        <v>558</v>
      </c>
      <c r="C117" s="130" t="s">
        <v>559</v>
      </c>
      <c r="D117" s="3" t="s">
        <v>139</v>
      </c>
      <c r="E117" s="3">
        <v>0</v>
      </c>
      <c r="F117" s="3">
        <v>0</v>
      </c>
      <c r="G117" s="3">
        <v>0</v>
      </c>
      <c r="H117" s="3" t="s">
        <v>139</v>
      </c>
      <c r="I117" s="3">
        <v>0.01</v>
      </c>
      <c r="J117" s="3">
        <v>0</v>
      </c>
    </row>
    <row r="118" spans="2:10" ht="15.75" hidden="1" thickBot="1" x14ac:dyDescent="0.3">
      <c r="B118" s="130" t="s">
        <v>558</v>
      </c>
      <c r="C118" s="130" t="s">
        <v>560</v>
      </c>
      <c r="D118" s="3">
        <v>0</v>
      </c>
      <c r="E118" s="3">
        <v>0.01</v>
      </c>
      <c r="F118" s="3">
        <v>0.01</v>
      </c>
      <c r="G118" s="3">
        <v>0</v>
      </c>
      <c r="H118" s="3" t="s">
        <v>139</v>
      </c>
      <c r="I118" s="3">
        <v>0.02</v>
      </c>
      <c r="J118" s="3">
        <v>0</v>
      </c>
    </row>
    <row r="119" spans="2:10" ht="15.75" hidden="1" thickBot="1" x14ac:dyDescent="0.3">
      <c r="B119" s="130" t="s">
        <v>558</v>
      </c>
      <c r="C119" s="130" t="s">
        <v>561</v>
      </c>
      <c r="D119" s="3">
        <v>0</v>
      </c>
      <c r="E119" s="3">
        <v>3.65</v>
      </c>
      <c r="F119" s="3">
        <v>3.59</v>
      </c>
      <c r="G119" s="3">
        <v>1.42</v>
      </c>
      <c r="H119" s="3" t="s">
        <v>139</v>
      </c>
      <c r="I119" s="3">
        <v>8.67</v>
      </c>
      <c r="J119" s="3">
        <v>0</v>
      </c>
    </row>
    <row r="120" spans="2:10" ht="15.75" hidden="1" thickBot="1" x14ac:dyDescent="0.3">
      <c r="B120" s="130" t="s">
        <v>562</v>
      </c>
      <c r="C120" s="130" t="s">
        <v>563</v>
      </c>
      <c r="D120" s="3" t="s">
        <v>139</v>
      </c>
      <c r="E120" s="3">
        <v>4.1900000000000004</v>
      </c>
      <c r="F120" s="3">
        <v>5.12</v>
      </c>
      <c r="G120" s="3">
        <v>2.33</v>
      </c>
      <c r="H120" s="3">
        <v>3.73</v>
      </c>
      <c r="I120" s="3">
        <v>15.37</v>
      </c>
      <c r="J120" s="3">
        <v>0</v>
      </c>
    </row>
    <row r="121" spans="2:10" ht="15.75" hidden="1" thickBot="1" x14ac:dyDescent="0.3">
      <c r="B121" s="130" t="s">
        <v>564</v>
      </c>
      <c r="C121" s="130" t="s">
        <v>565</v>
      </c>
      <c r="D121" s="3">
        <v>1.39</v>
      </c>
      <c r="E121" s="3">
        <v>6.41</v>
      </c>
      <c r="F121" s="3">
        <v>66.13</v>
      </c>
      <c r="G121" s="3">
        <v>29.36</v>
      </c>
      <c r="H121" s="3">
        <v>23.21</v>
      </c>
      <c r="I121" s="3">
        <v>126.51</v>
      </c>
      <c r="J121" s="3">
        <v>7.0000000000000007E-2</v>
      </c>
    </row>
    <row r="122" spans="2:10" ht="15.75" hidden="1" thickBot="1" x14ac:dyDescent="0.3">
      <c r="B122" s="130" t="s">
        <v>564</v>
      </c>
      <c r="C122" s="130" t="s">
        <v>566</v>
      </c>
      <c r="D122" s="3" t="s">
        <v>139</v>
      </c>
      <c r="E122" s="3">
        <v>5.12</v>
      </c>
      <c r="F122" s="3">
        <v>30.6</v>
      </c>
      <c r="G122" s="3">
        <v>6.11</v>
      </c>
      <c r="H122" s="3">
        <v>9.69</v>
      </c>
      <c r="I122" s="3">
        <v>51.52</v>
      </c>
      <c r="J122" s="3">
        <v>0.02</v>
      </c>
    </row>
    <row r="123" spans="2:10" ht="15.75" hidden="1" thickBot="1" x14ac:dyDescent="0.3">
      <c r="B123" s="130" t="s">
        <v>564</v>
      </c>
      <c r="C123" s="130" t="s">
        <v>567</v>
      </c>
      <c r="D123" s="3">
        <v>0.36</v>
      </c>
      <c r="E123" s="3">
        <v>7.1</v>
      </c>
      <c r="F123" s="3">
        <v>30.75</v>
      </c>
      <c r="G123" s="3">
        <v>6.78</v>
      </c>
      <c r="H123" s="3">
        <v>6.33</v>
      </c>
      <c r="I123" s="3">
        <v>51.32</v>
      </c>
      <c r="J123" s="3">
        <v>0.02</v>
      </c>
    </row>
    <row r="124" spans="2:10" ht="15.75" hidden="1" thickBot="1" x14ac:dyDescent="0.3">
      <c r="B124" s="130" t="s">
        <v>568</v>
      </c>
      <c r="C124" s="130" t="s">
        <v>569</v>
      </c>
      <c r="D124" s="3" t="s">
        <v>139</v>
      </c>
      <c r="E124" s="3" t="s">
        <v>139</v>
      </c>
      <c r="F124" s="3">
        <v>2.39</v>
      </c>
      <c r="G124" s="3" t="s">
        <v>139</v>
      </c>
      <c r="H124" s="3">
        <v>0.34</v>
      </c>
      <c r="I124" s="3">
        <v>2.73</v>
      </c>
      <c r="J124" s="3">
        <v>0</v>
      </c>
    </row>
    <row r="125" spans="2:10" ht="15.75" hidden="1" thickBot="1" x14ac:dyDescent="0.3">
      <c r="B125" s="130" t="s">
        <v>568</v>
      </c>
      <c r="C125" s="130" t="s">
        <v>570</v>
      </c>
      <c r="D125" s="3" t="s">
        <v>139</v>
      </c>
      <c r="E125" s="3" t="s">
        <v>139</v>
      </c>
      <c r="F125" s="3" t="s">
        <v>139</v>
      </c>
      <c r="G125" s="3" t="s">
        <v>139</v>
      </c>
      <c r="H125" s="3">
        <v>0.14000000000000001</v>
      </c>
      <c r="I125" s="3">
        <v>0.14000000000000001</v>
      </c>
      <c r="J125" s="3">
        <v>0</v>
      </c>
    </row>
    <row r="126" spans="2:10" ht="15.75" hidden="1" thickBot="1" x14ac:dyDescent="0.3">
      <c r="B126" s="130" t="s">
        <v>568</v>
      </c>
      <c r="C126" s="130" t="s">
        <v>571</v>
      </c>
      <c r="D126" s="3" t="s">
        <v>139</v>
      </c>
      <c r="E126" s="3">
        <v>0.27</v>
      </c>
      <c r="F126" s="3">
        <v>12.87</v>
      </c>
      <c r="G126" s="3">
        <v>4.1500000000000004</v>
      </c>
      <c r="H126" s="3">
        <v>1.64</v>
      </c>
      <c r="I126" s="3">
        <v>18.93</v>
      </c>
      <c r="J126" s="3">
        <v>0.01</v>
      </c>
    </row>
    <row r="127" spans="2:10" ht="15.75" hidden="1" thickBot="1" x14ac:dyDescent="0.3">
      <c r="B127" s="130" t="s">
        <v>568</v>
      </c>
      <c r="C127" s="130" t="s">
        <v>572</v>
      </c>
      <c r="D127" s="3" t="s">
        <v>139</v>
      </c>
      <c r="E127" s="3">
        <v>0.65</v>
      </c>
      <c r="F127" s="3">
        <v>15.96</v>
      </c>
      <c r="G127" s="3">
        <v>6.91</v>
      </c>
      <c r="H127" s="3">
        <v>4.07</v>
      </c>
      <c r="I127" s="3">
        <v>27.6</v>
      </c>
      <c r="J127" s="3">
        <v>0.01</v>
      </c>
    </row>
    <row r="128" spans="2:10" ht="15.75" hidden="1" thickBot="1" x14ac:dyDescent="0.3">
      <c r="B128" s="130" t="s">
        <v>568</v>
      </c>
      <c r="C128" s="130" t="s">
        <v>573</v>
      </c>
      <c r="D128" s="3">
        <v>0.24</v>
      </c>
      <c r="E128" s="3">
        <v>0.38</v>
      </c>
      <c r="F128" s="3">
        <v>32.270000000000003</v>
      </c>
      <c r="G128" s="3">
        <v>13.85</v>
      </c>
      <c r="H128" s="3">
        <v>11.98</v>
      </c>
      <c r="I128" s="3">
        <v>58.72</v>
      </c>
      <c r="J128" s="3">
        <v>0.03</v>
      </c>
    </row>
    <row r="129" spans="2:10" ht="15.75" hidden="1" thickBot="1" x14ac:dyDescent="0.3">
      <c r="B129" s="130" t="s">
        <v>568</v>
      </c>
      <c r="C129" s="130" t="s">
        <v>574</v>
      </c>
      <c r="D129" s="3">
        <v>0.24</v>
      </c>
      <c r="E129" s="3">
        <v>1.33</v>
      </c>
      <c r="F129" s="3">
        <v>1.71</v>
      </c>
      <c r="G129" s="3">
        <v>0.47</v>
      </c>
      <c r="H129" s="3">
        <v>5.41</v>
      </c>
      <c r="I129" s="3">
        <v>9.15</v>
      </c>
      <c r="J129" s="3">
        <v>0</v>
      </c>
    </row>
    <row r="130" spans="2:10" ht="15.75" hidden="1" thickBot="1" x14ac:dyDescent="0.3">
      <c r="B130" s="130" t="s">
        <v>568</v>
      </c>
      <c r="C130" s="130" t="s">
        <v>575</v>
      </c>
      <c r="D130" s="3" t="s">
        <v>139</v>
      </c>
      <c r="E130" s="3" t="s">
        <v>139</v>
      </c>
      <c r="F130" s="3">
        <v>12.36</v>
      </c>
      <c r="G130" s="3">
        <v>11.89</v>
      </c>
      <c r="H130" s="3">
        <v>42.32</v>
      </c>
      <c r="I130" s="3">
        <v>66.569999999999993</v>
      </c>
      <c r="J130" s="3">
        <v>0.03</v>
      </c>
    </row>
    <row r="131" spans="2:10" ht="15.75" hidden="1" thickBot="1" x14ac:dyDescent="0.3">
      <c r="B131" s="130" t="s">
        <v>568</v>
      </c>
      <c r="C131" s="130" t="s">
        <v>576</v>
      </c>
      <c r="D131" s="3">
        <v>0.09</v>
      </c>
      <c r="E131" s="3">
        <v>0.66</v>
      </c>
      <c r="F131" s="3">
        <v>6.59</v>
      </c>
      <c r="G131" s="3">
        <v>2.64</v>
      </c>
      <c r="H131" s="3">
        <v>2.86</v>
      </c>
      <c r="I131" s="3">
        <v>12.83</v>
      </c>
      <c r="J131" s="3">
        <v>0</v>
      </c>
    </row>
    <row r="132" spans="2:10" ht="15.75" hidden="1" thickBot="1" x14ac:dyDescent="0.3">
      <c r="B132" s="130" t="s">
        <v>568</v>
      </c>
      <c r="C132" s="130" t="s">
        <v>577</v>
      </c>
      <c r="D132" s="3" t="s">
        <v>139</v>
      </c>
      <c r="E132" s="3">
        <v>4.63</v>
      </c>
      <c r="F132" s="3">
        <v>5.0199999999999996</v>
      </c>
      <c r="G132" s="3">
        <v>4.6100000000000003</v>
      </c>
      <c r="H132" s="3">
        <v>11.19</v>
      </c>
      <c r="I132" s="3">
        <v>25.45</v>
      </c>
      <c r="J132" s="3">
        <v>0.01</v>
      </c>
    </row>
    <row r="133" spans="2:10" ht="15.75" hidden="1" thickBot="1" x14ac:dyDescent="0.3">
      <c r="B133" s="130" t="s">
        <v>578</v>
      </c>
      <c r="C133" s="130" t="s">
        <v>579</v>
      </c>
      <c r="D133" s="3" t="s">
        <v>139</v>
      </c>
      <c r="E133" s="3">
        <v>0.41</v>
      </c>
      <c r="F133" s="3">
        <v>0.21</v>
      </c>
      <c r="G133" s="3" t="s">
        <v>139</v>
      </c>
      <c r="H133" s="3" t="s">
        <v>139</v>
      </c>
      <c r="I133" s="3">
        <v>0.62</v>
      </c>
      <c r="J133" s="3">
        <v>0</v>
      </c>
    </row>
    <row r="134" spans="2:10" ht="15.75" hidden="1" thickBot="1" x14ac:dyDescent="0.3">
      <c r="B134" s="130" t="s">
        <v>578</v>
      </c>
      <c r="C134" s="130" t="s">
        <v>580</v>
      </c>
      <c r="D134" s="3" t="s">
        <v>139</v>
      </c>
      <c r="E134" s="3" t="s">
        <v>139</v>
      </c>
      <c r="F134" s="3">
        <v>4.3899999999999997</v>
      </c>
      <c r="G134" s="3">
        <v>0.78</v>
      </c>
      <c r="H134" s="3">
        <v>4.1500000000000004</v>
      </c>
      <c r="I134" s="3">
        <v>9.32</v>
      </c>
      <c r="J134" s="3">
        <v>0</v>
      </c>
    </row>
    <row r="135" spans="2:10" ht="15.75" hidden="1" thickBot="1" x14ac:dyDescent="0.3">
      <c r="B135" s="130" t="s">
        <v>578</v>
      </c>
      <c r="C135" s="130" t="s">
        <v>581</v>
      </c>
      <c r="D135" s="3" t="s">
        <v>139</v>
      </c>
      <c r="E135" s="3" t="s">
        <v>139</v>
      </c>
      <c r="F135" s="3" t="s">
        <v>139</v>
      </c>
      <c r="G135" s="3" t="s">
        <v>139</v>
      </c>
      <c r="H135" s="3">
        <v>4.8600000000000003</v>
      </c>
      <c r="I135" s="3">
        <v>4.8600000000000003</v>
      </c>
      <c r="J135" s="3">
        <v>0</v>
      </c>
    </row>
    <row r="136" spans="2:10" ht="15.75" hidden="1" thickBot="1" x14ac:dyDescent="0.3">
      <c r="B136" s="130" t="s">
        <v>578</v>
      </c>
      <c r="C136" s="130" t="s">
        <v>582</v>
      </c>
      <c r="D136" s="3">
        <v>0.16</v>
      </c>
      <c r="E136" s="3">
        <v>2.69</v>
      </c>
      <c r="F136" s="3">
        <v>1.58</v>
      </c>
      <c r="G136" s="3">
        <v>2.4900000000000002</v>
      </c>
      <c r="H136" s="3">
        <v>9.3699999999999992</v>
      </c>
      <c r="I136" s="3">
        <v>16.29</v>
      </c>
      <c r="J136" s="3">
        <v>0</v>
      </c>
    </row>
    <row r="137" spans="2:10" ht="15.75" hidden="1" thickBot="1" x14ac:dyDescent="0.3">
      <c r="B137" s="130" t="s">
        <v>578</v>
      </c>
      <c r="C137" s="130" t="s">
        <v>583</v>
      </c>
      <c r="D137" s="3">
        <v>1.62</v>
      </c>
      <c r="E137" s="3" t="s">
        <v>139</v>
      </c>
      <c r="F137" s="3">
        <v>9.52</v>
      </c>
      <c r="G137" s="3" t="s">
        <v>139</v>
      </c>
      <c r="H137" s="3" t="s">
        <v>139</v>
      </c>
      <c r="I137" s="3">
        <v>11.13</v>
      </c>
      <c r="J137" s="3">
        <v>0</v>
      </c>
    </row>
    <row r="138" spans="2:10" ht="15.75" hidden="1" thickBot="1" x14ac:dyDescent="0.3">
      <c r="B138" s="130" t="s">
        <v>578</v>
      </c>
      <c r="C138" s="130" t="s">
        <v>584</v>
      </c>
      <c r="D138" s="3">
        <v>1.67</v>
      </c>
      <c r="E138" s="3">
        <v>3.75</v>
      </c>
      <c r="F138" s="3">
        <v>22.52</v>
      </c>
      <c r="G138" s="3">
        <v>19.18</v>
      </c>
      <c r="H138" s="3">
        <v>30.23</v>
      </c>
      <c r="I138" s="3">
        <v>77.36</v>
      </c>
      <c r="J138" s="3">
        <v>0.04</v>
      </c>
    </row>
    <row r="139" spans="2:10" ht="15.75" hidden="1" thickBot="1" x14ac:dyDescent="0.3">
      <c r="B139" s="130" t="s">
        <v>585</v>
      </c>
      <c r="C139" s="130" t="s">
        <v>586</v>
      </c>
      <c r="D139" s="3">
        <v>1.8</v>
      </c>
      <c r="E139" s="3" t="s">
        <v>139</v>
      </c>
      <c r="F139" s="3">
        <v>3</v>
      </c>
      <c r="G139" s="3" t="s">
        <v>139</v>
      </c>
      <c r="H139" s="3">
        <v>4.2</v>
      </c>
      <c r="I139" s="3">
        <v>8.99</v>
      </c>
      <c r="J139" s="3">
        <v>0</v>
      </c>
    </row>
    <row r="140" spans="2:10" ht="15.75" hidden="1" thickBot="1" x14ac:dyDescent="0.3">
      <c r="B140" s="130" t="s">
        <v>585</v>
      </c>
      <c r="C140" s="130" t="s">
        <v>587</v>
      </c>
      <c r="D140" s="3" t="s">
        <v>139</v>
      </c>
      <c r="E140" s="3" t="s">
        <v>139</v>
      </c>
      <c r="F140" s="3">
        <v>4.0999999999999996</v>
      </c>
      <c r="G140" s="3" t="s">
        <v>139</v>
      </c>
      <c r="H140" s="3" t="s">
        <v>139</v>
      </c>
      <c r="I140" s="3">
        <v>4.0999999999999996</v>
      </c>
      <c r="J140" s="3">
        <v>0</v>
      </c>
    </row>
    <row r="141" spans="2:10" ht="15.75" hidden="1" thickBot="1" x14ac:dyDescent="0.3">
      <c r="B141" s="130" t="s">
        <v>588</v>
      </c>
      <c r="C141" s="130" t="s">
        <v>589</v>
      </c>
      <c r="D141" s="3" t="s">
        <v>139</v>
      </c>
      <c r="E141" s="3" t="s">
        <v>139</v>
      </c>
      <c r="F141" s="3">
        <v>2.16</v>
      </c>
      <c r="G141" s="3">
        <v>4.3600000000000003</v>
      </c>
      <c r="H141" s="3">
        <v>9.15</v>
      </c>
      <c r="I141" s="3">
        <v>15.67</v>
      </c>
      <c r="J141" s="3">
        <v>0</v>
      </c>
    </row>
    <row r="142" spans="2:10" ht="15.75" hidden="1" thickBot="1" x14ac:dyDescent="0.3">
      <c r="B142" s="130" t="s">
        <v>588</v>
      </c>
      <c r="C142" s="130" t="s">
        <v>590</v>
      </c>
      <c r="D142" s="3">
        <v>0.88</v>
      </c>
      <c r="E142" s="3">
        <v>1.31</v>
      </c>
      <c r="F142" s="3">
        <v>7.88</v>
      </c>
      <c r="G142" s="3">
        <v>5.03</v>
      </c>
      <c r="H142" s="3">
        <v>20.56</v>
      </c>
      <c r="I142" s="3">
        <v>35.659999999999997</v>
      </c>
      <c r="J142" s="3">
        <v>0.02</v>
      </c>
    </row>
    <row r="143" spans="2:10" ht="15.75" hidden="1" thickBot="1" x14ac:dyDescent="0.3">
      <c r="B143" s="130" t="s">
        <v>591</v>
      </c>
      <c r="C143" s="130" t="s">
        <v>592</v>
      </c>
      <c r="D143" s="3" t="s">
        <v>139</v>
      </c>
      <c r="E143" s="3">
        <v>13.61</v>
      </c>
      <c r="F143" s="3">
        <v>35.46</v>
      </c>
      <c r="G143" s="3">
        <v>20.47</v>
      </c>
      <c r="H143" s="3">
        <v>7.89</v>
      </c>
      <c r="I143" s="3">
        <v>77.430000000000007</v>
      </c>
      <c r="J143" s="3">
        <v>0.04</v>
      </c>
    </row>
    <row r="144" spans="2:10" ht="15.75" hidden="1" thickBot="1" x14ac:dyDescent="0.3">
      <c r="B144" s="130" t="s">
        <v>591</v>
      </c>
      <c r="C144" s="130" t="s">
        <v>593</v>
      </c>
      <c r="D144" s="3" t="s">
        <v>139</v>
      </c>
      <c r="E144" s="3">
        <v>0.86</v>
      </c>
      <c r="F144" s="3">
        <v>0.71</v>
      </c>
      <c r="G144" s="3">
        <v>0.61</v>
      </c>
      <c r="H144" s="3">
        <v>0.86</v>
      </c>
      <c r="I144" s="3">
        <v>3.03</v>
      </c>
      <c r="J144" s="3">
        <v>0</v>
      </c>
    </row>
    <row r="145" spans="2:10" ht="15.75" hidden="1" thickBot="1" x14ac:dyDescent="0.3">
      <c r="B145" s="130" t="s">
        <v>594</v>
      </c>
      <c r="C145" s="130" t="s">
        <v>595</v>
      </c>
      <c r="D145" s="3">
        <v>0.01</v>
      </c>
      <c r="E145" s="3">
        <v>0.02</v>
      </c>
      <c r="F145" s="3" t="s">
        <v>139</v>
      </c>
      <c r="G145" s="3">
        <v>0.02</v>
      </c>
      <c r="H145" s="3">
        <v>0.01</v>
      </c>
      <c r="I145" s="3">
        <v>0.06</v>
      </c>
      <c r="J145" s="3">
        <v>0</v>
      </c>
    </row>
    <row r="146" spans="2:10" ht="15.75" hidden="1" thickBot="1" x14ac:dyDescent="0.3">
      <c r="B146" s="130" t="s">
        <v>594</v>
      </c>
      <c r="C146" s="130" t="s">
        <v>596</v>
      </c>
      <c r="D146" s="3">
        <v>0.28999999999999998</v>
      </c>
      <c r="E146" s="3">
        <v>0.26</v>
      </c>
      <c r="F146" s="3">
        <v>1.18</v>
      </c>
      <c r="G146" s="3">
        <v>0.36</v>
      </c>
      <c r="H146" s="3">
        <v>0.15</v>
      </c>
      <c r="I146" s="3">
        <v>2.23</v>
      </c>
      <c r="J146" s="3">
        <v>0</v>
      </c>
    </row>
    <row r="147" spans="2:10" ht="15.75" hidden="1" thickBot="1" x14ac:dyDescent="0.3">
      <c r="B147" s="130" t="s">
        <v>597</v>
      </c>
      <c r="C147" s="130" t="s">
        <v>598</v>
      </c>
      <c r="D147" s="3" t="s">
        <v>139</v>
      </c>
      <c r="E147" s="3">
        <v>5.55</v>
      </c>
      <c r="F147" s="3" t="s">
        <v>139</v>
      </c>
      <c r="G147" s="3" t="s">
        <v>139</v>
      </c>
      <c r="H147" s="3" t="s">
        <v>139</v>
      </c>
      <c r="I147" s="3">
        <v>5.55</v>
      </c>
      <c r="J147" s="3">
        <v>0</v>
      </c>
    </row>
    <row r="148" spans="2:10" ht="15.75" hidden="1" thickBot="1" x14ac:dyDescent="0.3">
      <c r="B148" s="130" t="s">
        <v>597</v>
      </c>
      <c r="C148" s="130" t="s">
        <v>599</v>
      </c>
      <c r="D148" s="3" t="s">
        <v>139</v>
      </c>
      <c r="E148" s="3" t="s">
        <v>139</v>
      </c>
      <c r="F148" s="3">
        <v>1.96</v>
      </c>
      <c r="G148" s="3" t="s">
        <v>139</v>
      </c>
      <c r="H148" s="3" t="s">
        <v>139</v>
      </c>
      <c r="I148" s="3">
        <v>1.96</v>
      </c>
      <c r="J148" s="3">
        <v>0</v>
      </c>
    </row>
    <row r="149" spans="2:10" ht="15.75" hidden="1" thickBot="1" x14ac:dyDescent="0.3">
      <c r="B149" s="130" t="s">
        <v>600</v>
      </c>
      <c r="C149" s="130" t="s">
        <v>601</v>
      </c>
      <c r="D149" s="3" t="s">
        <v>139</v>
      </c>
      <c r="E149" s="3" t="s">
        <v>139</v>
      </c>
      <c r="F149" s="3" t="s">
        <v>139</v>
      </c>
      <c r="G149" s="3" t="s">
        <v>139</v>
      </c>
      <c r="H149" s="3">
        <v>1.54</v>
      </c>
      <c r="I149" s="3">
        <v>1.54</v>
      </c>
      <c r="J149" s="3">
        <v>0</v>
      </c>
    </row>
    <row r="150" spans="2:10" ht="15.75" hidden="1" thickBot="1" x14ac:dyDescent="0.3">
      <c r="B150" s="130" t="s">
        <v>600</v>
      </c>
      <c r="C150" s="130" t="s">
        <v>602</v>
      </c>
      <c r="D150" s="3" t="s">
        <v>139</v>
      </c>
      <c r="E150" s="3">
        <v>0.49</v>
      </c>
      <c r="F150" s="3">
        <v>0.6</v>
      </c>
      <c r="G150" s="3">
        <v>1.59</v>
      </c>
      <c r="H150" s="3">
        <v>2.4700000000000002</v>
      </c>
      <c r="I150" s="3">
        <v>5.17</v>
      </c>
      <c r="J150" s="3">
        <v>0</v>
      </c>
    </row>
    <row r="151" spans="2:10" ht="15.75" hidden="1" thickBot="1" x14ac:dyDescent="0.3">
      <c r="B151" s="130" t="s">
        <v>600</v>
      </c>
      <c r="C151" s="130" t="s">
        <v>603</v>
      </c>
      <c r="D151" s="3">
        <v>3.3</v>
      </c>
      <c r="E151" s="3">
        <v>3.85</v>
      </c>
      <c r="F151" s="3">
        <v>19.260000000000002</v>
      </c>
      <c r="G151" s="3">
        <v>3.3</v>
      </c>
      <c r="H151" s="3">
        <v>1.1000000000000001</v>
      </c>
      <c r="I151" s="3">
        <v>30.82</v>
      </c>
      <c r="J151" s="3">
        <v>0.01</v>
      </c>
    </row>
    <row r="152" spans="2:10" ht="15.75" hidden="1" thickBot="1" x14ac:dyDescent="0.3">
      <c r="B152" s="130" t="s">
        <v>600</v>
      </c>
      <c r="C152" s="130" t="s">
        <v>604</v>
      </c>
      <c r="D152" s="3" t="s">
        <v>139</v>
      </c>
      <c r="E152" s="3">
        <v>0.72</v>
      </c>
      <c r="F152" s="3">
        <v>1.53</v>
      </c>
      <c r="G152" s="3">
        <v>1.46</v>
      </c>
      <c r="H152" s="3">
        <v>0.99</v>
      </c>
      <c r="I152" s="3">
        <v>4.7</v>
      </c>
      <c r="J152" s="3">
        <v>0</v>
      </c>
    </row>
    <row r="153" spans="2:10" ht="15.75" hidden="1" thickBot="1" x14ac:dyDescent="0.3">
      <c r="B153" s="130" t="s">
        <v>605</v>
      </c>
      <c r="C153" s="130" t="s">
        <v>606</v>
      </c>
      <c r="D153" s="3">
        <v>2.14</v>
      </c>
      <c r="E153" s="3">
        <v>13.45</v>
      </c>
      <c r="F153" s="3">
        <v>52.74</v>
      </c>
      <c r="G153" s="3">
        <v>22.02</v>
      </c>
      <c r="H153" s="3">
        <v>14.76</v>
      </c>
      <c r="I153" s="3">
        <v>105.1</v>
      </c>
      <c r="J153" s="3">
        <v>0.05</v>
      </c>
    </row>
    <row r="154" spans="2:10" ht="15.75" hidden="1" thickBot="1" x14ac:dyDescent="0.3">
      <c r="B154" s="130" t="s">
        <v>607</v>
      </c>
      <c r="C154" s="130" t="s">
        <v>608</v>
      </c>
      <c r="D154" s="3">
        <v>0.6</v>
      </c>
      <c r="E154" s="3">
        <v>2.54</v>
      </c>
      <c r="F154" s="3">
        <v>6.7</v>
      </c>
      <c r="G154" s="3">
        <v>11.32</v>
      </c>
      <c r="H154" s="3" t="s">
        <v>139</v>
      </c>
      <c r="I154" s="3">
        <v>21.16</v>
      </c>
      <c r="J154" s="3">
        <v>0.01</v>
      </c>
    </row>
    <row r="155" spans="2:10" ht="15.75" hidden="1" thickBot="1" x14ac:dyDescent="0.3">
      <c r="B155" s="130" t="s">
        <v>607</v>
      </c>
      <c r="C155" s="130" t="s">
        <v>609</v>
      </c>
      <c r="D155" s="3">
        <v>0.8</v>
      </c>
      <c r="E155" s="3">
        <v>12.98</v>
      </c>
      <c r="F155" s="3">
        <v>21.32</v>
      </c>
      <c r="G155" s="3">
        <v>10.71</v>
      </c>
      <c r="H155" s="3">
        <v>9.09</v>
      </c>
      <c r="I155" s="3">
        <v>54.9</v>
      </c>
      <c r="J155" s="3">
        <v>0.03</v>
      </c>
    </row>
    <row r="156" spans="2:10" ht="15.75" hidden="1" thickBot="1" x14ac:dyDescent="0.3">
      <c r="B156" s="130" t="s">
        <v>607</v>
      </c>
      <c r="C156" s="130" t="s">
        <v>610</v>
      </c>
      <c r="D156" s="3">
        <v>0.09</v>
      </c>
      <c r="E156" s="3">
        <v>2.88</v>
      </c>
      <c r="F156" s="3">
        <v>18.739999999999998</v>
      </c>
      <c r="G156" s="3">
        <v>11.39</v>
      </c>
      <c r="H156" s="3">
        <v>13.58</v>
      </c>
      <c r="I156" s="3">
        <v>46.68</v>
      </c>
      <c r="J156" s="3">
        <v>0.02</v>
      </c>
    </row>
    <row r="157" spans="2:10" ht="15.75" hidden="1" thickBot="1" x14ac:dyDescent="0.3">
      <c r="B157" s="130" t="s">
        <v>611</v>
      </c>
      <c r="C157" s="130" t="s">
        <v>612</v>
      </c>
      <c r="D157" s="3" t="s">
        <v>139</v>
      </c>
      <c r="E157" s="3">
        <v>10.51</v>
      </c>
      <c r="F157" s="3">
        <v>20.46</v>
      </c>
      <c r="G157" s="3">
        <v>12.69</v>
      </c>
      <c r="H157" s="3">
        <v>10.130000000000001</v>
      </c>
      <c r="I157" s="3">
        <v>53.79</v>
      </c>
      <c r="J157" s="3">
        <v>0.03</v>
      </c>
    </row>
    <row r="158" spans="2:10" ht="15.75" hidden="1" thickBot="1" x14ac:dyDescent="0.3">
      <c r="B158" s="130" t="s">
        <v>611</v>
      </c>
      <c r="C158" s="130" t="s">
        <v>613</v>
      </c>
      <c r="D158" s="3">
        <v>0.05</v>
      </c>
      <c r="E158" s="3">
        <v>7.78</v>
      </c>
      <c r="F158" s="3">
        <v>32.51</v>
      </c>
      <c r="G158" s="3">
        <v>23.43</v>
      </c>
      <c r="H158" s="3">
        <v>11.75</v>
      </c>
      <c r="I158" s="3">
        <v>75.510000000000005</v>
      </c>
      <c r="J158" s="3">
        <v>0.04</v>
      </c>
    </row>
    <row r="159" spans="2:10" ht="15.75" hidden="1" thickBot="1" x14ac:dyDescent="0.3">
      <c r="B159" s="130" t="s">
        <v>611</v>
      </c>
      <c r="C159" s="130" t="s">
        <v>614</v>
      </c>
      <c r="D159" s="3">
        <v>0.05</v>
      </c>
      <c r="E159" s="3">
        <v>6.53</v>
      </c>
      <c r="F159" s="3">
        <v>22.94</v>
      </c>
      <c r="G159" s="3">
        <v>15.16</v>
      </c>
      <c r="H159" s="3">
        <v>6.53</v>
      </c>
      <c r="I159" s="3">
        <v>51.21</v>
      </c>
      <c r="J159" s="3">
        <v>0.02</v>
      </c>
    </row>
    <row r="160" spans="2:10" ht="15.75" hidden="1" thickBot="1" x14ac:dyDescent="0.3">
      <c r="B160" s="130" t="s">
        <v>611</v>
      </c>
      <c r="C160" s="130" t="s">
        <v>615</v>
      </c>
      <c r="D160" s="3">
        <v>3.66</v>
      </c>
      <c r="E160" s="3">
        <v>6.41</v>
      </c>
      <c r="F160" s="3">
        <v>22.78</v>
      </c>
      <c r="G160" s="3">
        <v>12.68</v>
      </c>
      <c r="H160" s="3">
        <v>13.76</v>
      </c>
      <c r="I160" s="3">
        <v>59.3</v>
      </c>
      <c r="J160" s="3">
        <v>0.03</v>
      </c>
    </row>
    <row r="161" spans="2:10" ht="15.75" hidden="1" thickBot="1" x14ac:dyDescent="0.3">
      <c r="B161" s="130" t="s">
        <v>611</v>
      </c>
      <c r="C161" s="130" t="s">
        <v>616</v>
      </c>
      <c r="D161" s="3">
        <v>0.14000000000000001</v>
      </c>
      <c r="E161" s="3">
        <v>3.76</v>
      </c>
      <c r="F161" s="3">
        <v>4.38</v>
      </c>
      <c r="G161" s="3">
        <v>2.2599999999999998</v>
      </c>
      <c r="H161" s="3">
        <v>4.09</v>
      </c>
      <c r="I161" s="3">
        <v>14.64</v>
      </c>
      <c r="J161" s="3">
        <v>0</v>
      </c>
    </row>
    <row r="162" spans="2:10" ht="15.75" hidden="1" thickBot="1" x14ac:dyDescent="0.3">
      <c r="B162" s="130" t="s">
        <v>611</v>
      </c>
      <c r="C162" s="130" t="s">
        <v>617</v>
      </c>
      <c r="D162" s="3" t="s">
        <v>139</v>
      </c>
      <c r="E162" s="3">
        <v>0.41</v>
      </c>
      <c r="F162" s="3" t="s">
        <v>139</v>
      </c>
      <c r="G162" s="3" t="s">
        <v>139</v>
      </c>
      <c r="H162" s="3">
        <v>0.04</v>
      </c>
      <c r="I162" s="3">
        <v>0.46</v>
      </c>
      <c r="J162" s="3">
        <v>0</v>
      </c>
    </row>
    <row r="163" spans="2:10" ht="15.75" hidden="1" thickBot="1" x14ac:dyDescent="0.3">
      <c r="B163" s="130" t="s">
        <v>611</v>
      </c>
      <c r="C163" s="130" t="s">
        <v>618</v>
      </c>
      <c r="D163" s="3">
        <v>0.24</v>
      </c>
      <c r="E163" s="3">
        <v>1.33</v>
      </c>
      <c r="F163" s="3">
        <v>16.399999999999999</v>
      </c>
      <c r="G163" s="3">
        <v>10.7</v>
      </c>
      <c r="H163" s="3">
        <v>10.41</v>
      </c>
      <c r="I163" s="3">
        <v>39.08</v>
      </c>
      <c r="J163" s="3">
        <v>0.02</v>
      </c>
    </row>
    <row r="164" spans="2:10" ht="15.75" hidden="1" thickBot="1" x14ac:dyDescent="0.3">
      <c r="B164" s="130" t="s">
        <v>619</v>
      </c>
      <c r="C164" s="130" t="s">
        <v>620</v>
      </c>
      <c r="D164" s="3">
        <v>0.08</v>
      </c>
      <c r="E164" s="3">
        <v>12.03</v>
      </c>
      <c r="F164" s="3">
        <v>26.01</v>
      </c>
      <c r="G164" s="3">
        <v>7.83</v>
      </c>
      <c r="H164" s="3">
        <v>1.62</v>
      </c>
      <c r="I164" s="3">
        <v>47.57</v>
      </c>
      <c r="J164" s="3">
        <v>0.02</v>
      </c>
    </row>
    <row r="165" spans="2:10" ht="15.75" hidden="1" thickBot="1" x14ac:dyDescent="0.3">
      <c r="B165" s="130" t="s">
        <v>621</v>
      </c>
      <c r="C165" s="130" t="s">
        <v>622</v>
      </c>
      <c r="D165" s="3" t="s">
        <v>139</v>
      </c>
      <c r="E165" s="3" t="s">
        <v>139</v>
      </c>
      <c r="F165" s="3">
        <v>8.36</v>
      </c>
      <c r="G165" s="3">
        <v>4.66</v>
      </c>
      <c r="H165" s="3">
        <v>1.42</v>
      </c>
      <c r="I165" s="3">
        <v>14.43</v>
      </c>
      <c r="J165" s="3">
        <v>0</v>
      </c>
    </row>
    <row r="166" spans="2:10" ht="15.75" hidden="1" thickBot="1" x14ac:dyDescent="0.3">
      <c r="B166" s="130" t="s">
        <v>623</v>
      </c>
      <c r="C166" s="130" t="s">
        <v>624</v>
      </c>
      <c r="D166" s="3" t="s">
        <v>139</v>
      </c>
      <c r="E166" s="3">
        <v>3.03</v>
      </c>
      <c r="F166" s="3">
        <v>36.42</v>
      </c>
      <c r="G166" s="3">
        <v>7.4</v>
      </c>
      <c r="H166" s="3">
        <v>1.71</v>
      </c>
      <c r="I166" s="3">
        <v>48.56</v>
      </c>
      <c r="J166" s="3">
        <v>0.02</v>
      </c>
    </row>
    <row r="167" spans="2:10" ht="15.75" hidden="1" thickBot="1" x14ac:dyDescent="0.3">
      <c r="B167" s="130" t="s">
        <v>625</v>
      </c>
      <c r="C167" s="130" t="s">
        <v>626</v>
      </c>
      <c r="D167" s="3">
        <v>0.05</v>
      </c>
      <c r="E167" s="3">
        <v>1.77</v>
      </c>
      <c r="F167" s="3">
        <v>9.0299999999999994</v>
      </c>
      <c r="G167" s="3">
        <v>8.7200000000000006</v>
      </c>
      <c r="H167" s="3">
        <v>14.38</v>
      </c>
      <c r="I167" s="3">
        <v>33.94</v>
      </c>
      <c r="J167" s="3">
        <v>0.01</v>
      </c>
    </row>
    <row r="168" spans="2:10" ht="15.75" hidden="1" thickBot="1" x14ac:dyDescent="0.3">
      <c r="B168" s="130" t="s">
        <v>625</v>
      </c>
      <c r="C168" s="130" t="s">
        <v>627</v>
      </c>
      <c r="D168" s="3">
        <v>0.78</v>
      </c>
      <c r="E168" s="3">
        <v>9.9499999999999993</v>
      </c>
      <c r="F168" s="3">
        <v>21.86</v>
      </c>
      <c r="G168" s="3">
        <v>0.74</v>
      </c>
      <c r="H168" s="3">
        <v>8.24</v>
      </c>
      <c r="I168" s="3">
        <v>41.56</v>
      </c>
      <c r="J168" s="3">
        <v>0.02</v>
      </c>
    </row>
    <row r="169" spans="2:10" ht="15.75" hidden="1" thickBot="1" x14ac:dyDescent="0.3">
      <c r="B169" s="130" t="s">
        <v>625</v>
      </c>
      <c r="C169" s="130" t="s">
        <v>628</v>
      </c>
      <c r="D169" s="3">
        <v>0.05</v>
      </c>
      <c r="E169" s="3">
        <v>0.22</v>
      </c>
      <c r="F169" s="3">
        <v>0.47</v>
      </c>
      <c r="G169" s="3">
        <v>0.38</v>
      </c>
      <c r="H169" s="3">
        <v>0.47</v>
      </c>
      <c r="I169" s="3">
        <v>1.6</v>
      </c>
      <c r="J169" s="3">
        <v>0</v>
      </c>
    </row>
    <row r="170" spans="2:10" ht="15.75" hidden="1" thickBot="1" x14ac:dyDescent="0.3">
      <c r="B170" s="130" t="s">
        <v>625</v>
      </c>
      <c r="C170" s="130" t="s">
        <v>629</v>
      </c>
      <c r="D170" s="3">
        <v>0.04</v>
      </c>
      <c r="E170" s="3">
        <v>0.43</v>
      </c>
      <c r="F170" s="3">
        <v>1.45</v>
      </c>
      <c r="G170" s="3">
        <v>0.85</v>
      </c>
      <c r="H170" s="3">
        <v>1.5</v>
      </c>
      <c r="I170" s="3">
        <v>4.2699999999999996</v>
      </c>
      <c r="J170" s="3">
        <v>0</v>
      </c>
    </row>
    <row r="171" spans="2:10" ht="15.75" thickBot="1" x14ac:dyDescent="0.3">
      <c r="B171" s="130" t="s">
        <v>625</v>
      </c>
      <c r="C171" s="130" t="s">
        <v>630</v>
      </c>
      <c r="D171" s="3" t="s">
        <v>139</v>
      </c>
      <c r="E171" s="3">
        <v>4.74</v>
      </c>
      <c r="F171" s="3">
        <v>10.64</v>
      </c>
      <c r="G171" s="3">
        <v>10.52</v>
      </c>
      <c r="H171" s="3">
        <v>30.52</v>
      </c>
      <c r="I171" s="3">
        <v>56.41</v>
      </c>
      <c r="J171" s="3">
        <v>0.03</v>
      </c>
    </row>
    <row r="172" spans="2:10" ht="15.75" thickBot="1" x14ac:dyDescent="0.3">
      <c r="B172" s="130" t="s">
        <v>625</v>
      </c>
      <c r="C172" s="130" t="s">
        <v>631</v>
      </c>
      <c r="D172" s="3" t="s">
        <v>139</v>
      </c>
      <c r="E172" s="3" t="s">
        <v>139</v>
      </c>
      <c r="F172" s="3" t="s">
        <v>139</v>
      </c>
      <c r="G172" s="3">
        <v>3.7</v>
      </c>
      <c r="H172" s="3">
        <v>1.68</v>
      </c>
      <c r="I172" s="3">
        <v>5.38</v>
      </c>
      <c r="J172" s="3">
        <v>0</v>
      </c>
    </row>
    <row r="173" spans="2:10" ht="15.75" thickBot="1" x14ac:dyDescent="0.3">
      <c r="B173" s="130" t="s">
        <v>625</v>
      </c>
      <c r="C173" s="130" t="s">
        <v>632</v>
      </c>
      <c r="D173" s="3" t="s">
        <v>139</v>
      </c>
      <c r="E173" s="3" t="s">
        <v>139</v>
      </c>
      <c r="F173" s="3" t="s">
        <v>139</v>
      </c>
      <c r="G173" s="3">
        <v>2.15</v>
      </c>
      <c r="H173" s="3">
        <v>6.45</v>
      </c>
      <c r="I173" s="3">
        <v>8.61</v>
      </c>
      <c r="J173" s="3">
        <v>0</v>
      </c>
    </row>
    <row r="174" spans="2:10" ht="15.75" hidden="1" thickBot="1" x14ac:dyDescent="0.3">
      <c r="B174" s="130" t="s">
        <v>633</v>
      </c>
      <c r="C174" s="130" t="s">
        <v>634</v>
      </c>
      <c r="D174" s="3" t="s">
        <v>139</v>
      </c>
      <c r="E174" s="3" t="s">
        <v>139</v>
      </c>
      <c r="F174" s="3">
        <v>0.32</v>
      </c>
      <c r="G174" s="3" t="s">
        <v>139</v>
      </c>
      <c r="H174" s="3" t="s">
        <v>139</v>
      </c>
      <c r="I174" s="3">
        <v>0.32</v>
      </c>
      <c r="J174" s="3">
        <v>0</v>
      </c>
    </row>
    <row r="175" spans="2:10" ht="15.75" hidden="1" thickBot="1" x14ac:dyDescent="0.3">
      <c r="B175" s="130" t="s">
        <v>633</v>
      </c>
      <c r="C175" s="130" t="s">
        <v>635</v>
      </c>
      <c r="D175" s="3" t="s">
        <v>139</v>
      </c>
      <c r="E175" s="3">
        <v>0.02</v>
      </c>
      <c r="F175" s="3" t="s">
        <v>139</v>
      </c>
      <c r="G175" s="3">
        <v>0.1</v>
      </c>
      <c r="H175" s="3" t="s">
        <v>139</v>
      </c>
      <c r="I175" s="3">
        <v>0.12</v>
      </c>
      <c r="J175" s="3">
        <v>0</v>
      </c>
    </row>
    <row r="176" spans="2:10" ht="15.75" hidden="1" thickBot="1" x14ac:dyDescent="0.3">
      <c r="B176" s="130" t="s">
        <v>633</v>
      </c>
      <c r="C176" s="130" t="s">
        <v>636</v>
      </c>
      <c r="D176" s="3" t="s">
        <v>139</v>
      </c>
      <c r="E176" s="3" t="s">
        <v>139</v>
      </c>
      <c r="F176" s="3" t="s">
        <v>139</v>
      </c>
      <c r="G176" s="3">
        <v>0.16</v>
      </c>
      <c r="H176" s="3" t="s">
        <v>139</v>
      </c>
      <c r="I176" s="3">
        <v>0.16</v>
      </c>
      <c r="J176" s="3">
        <v>0</v>
      </c>
    </row>
    <row r="177" spans="2:10" ht="15.75" hidden="1" thickBot="1" x14ac:dyDescent="0.3">
      <c r="B177" s="130" t="s">
        <v>633</v>
      </c>
      <c r="C177" s="130" t="s">
        <v>637</v>
      </c>
      <c r="D177" s="3" t="s">
        <v>139</v>
      </c>
      <c r="E177" s="3" t="s">
        <v>139</v>
      </c>
      <c r="F177" s="3">
        <v>0.19</v>
      </c>
      <c r="G177" s="3" t="s">
        <v>139</v>
      </c>
      <c r="H177" s="3">
        <v>0.12</v>
      </c>
      <c r="I177" s="3">
        <v>0.31</v>
      </c>
      <c r="J177" s="3">
        <v>0</v>
      </c>
    </row>
    <row r="178" spans="2:10" ht="15.75" hidden="1" thickBot="1" x14ac:dyDescent="0.3">
      <c r="B178" s="130" t="s">
        <v>633</v>
      </c>
      <c r="C178" s="130" t="s">
        <v>638</v>
      </c>
      <c r="D178" s="3">
        <v>0.05</v>
      </c>
      <c r="E178" s="3">
        <v>0.12</v>
      </c>
      <c r="F178" s="3">
        <v>0.34</v>
      </c>
      <c r="G178" s="3">
        <v>0.11</v>
      </c>
      <c r="H178" s="3">
        <v>0.03</v>
      </c>
      <c r="I178" s="3">
        <v>0.65</v>
      </c>
      <c r="J178" s="3">
        <v>0</v>
      </c>
    </row>
    <row r="179" spans="2:10" ht="15.75" hidden="1" thickBot="1" x14ac:dyDescent="0.3">
      <c r="B179" s="130" t="s">
        <v>633</v>
      </c>
      <c r="C179" s="130" t="s">
        <v>639</v>
      </c>
      <c r="D179" s="3" t="s">
        <v>139</v>
      </c>
      <c r="E179" s="3">
        <v>0.06</v>
      </c>
      <c r="F179" s="3" t="s">
        <v>139</v>
      </c>
      <c r="G179" s="3" t="s">
        <v>139</v>
      </c>
      <c r="H179" s="3" t="s">
        <v>139</v>
      </c>
      <c r="I179" s="3">
        <v>0.06</v>
      </c>
      <c r="J179" s="3">
        <v>0</v>
      </c>
    </row>
    <row r="180" spans="2:10" ht="15.75" hidden="1" thickBot="1" x14ac:dyDescent="0.3">
      <c r="B180" s="130" t="s">
        <v>633</v>
      </c>
      <c r="C180" s="130" t="s">
        <v>640</v>
      </c>
      <c r="D180" s="3" t="s">
        <v>139</v>
      </c>
      <c r="E180" s="3">
        <v>0.01</v>
      </c>
      <c r="F180" s="3">
        <v>0.01</v>
      </c>
      <c r="G180" s="3">
        <v>0.01</v>
      </c>
      <c r="H180" s="3">
        <v>0</v>
      </c>
      <c r="I180" s="3">
        <v>0.03</v>
      </c>
      <c r="J180" s="3">
        <v>0</v>
      </c>
    </row>
    <row r="181" spans="2:10" ht="15.75" hidden="1" thickBot="1" x14ac:dyDescent="0.3">
      <c r="B181" s="130" t="s">
        <v>641</v>
      </c>
      <c r="C181" s="130" t="s">
        <v>642</v>
      </c>
      <c r="D181" s="3" t="s">
        <v>139</v>
      </c>
      <c r="E181" s="3" t="s">
        <v>139</v>
      </c>
      <c r="F181" s="3">
        <v>1.25</v>
      </c>
      <c r="G181" s="3" t="s">
        <v>139</v>
      </c>
      <c r="H181" s="3" t="s">
        <v>139</v>
      </c>
      <c r="I181" s="3">
        <v>1.25</v>
      </c>
      <c r="J181" s="3">
        <v>0</v>
      </c>
    </row>
    <row r="182" spans="2:10" ht="15.75" hidden="1" thickBot="1" x14ac:dyDescent="0.3">
      <c r="B182" s="130" t="s">
        <v>641</v>
      </c>
      <c r="C182" s="130" t="s">
        <v>643</v>
      </c>
      <c r="D182" s="3" t="s">
        <v>139</v>
      </c>
      <c r="E182" s="3" t="s">
        <v>139</v>
      </c>
      <c r="F182" s="3">
        <v>0.31</v>
      </c>
      <c r="G182" s="3" t="s">
        <v>139</v>
      </c>
      <c r="H182" s="3" t="s">
        <v>139</v>
      </c>
      <c r="I182" s="3">
        <v>0.31</v>
      </c>
      <c r="J182" s="3">
        <v>0</v>
      </c>
    </row>
    <row r="183" spans="2:10" ht="15.75" hidden="1" thickBot="1" x14ac:dyDescent="0.3">
      <c r="B183" s="130" t="s">
        <v>641</v>
      </c>
      <c r="C183" s="130" t="s">
        <v>644</v>
      </c>
      <c r="D183" s="3" t="s">
        <v>139</v>
      </c>
      <c r="E183" s="3" t="s">
        <v>139</v>
      </c>
      <c r="F183" s="3">
        <v>7.0000000000000007E-2</v>
      </c>
      <c r="G183" s="3">
        <v>0.13</v>
      </c>
      <c r="H183" s="3">
        <v>0.39</v>
      </c>
      <c r="I183" s="3">
        <v>0.59</v>
      </c>
      <c r="J183" s="3">
        <v>0</v>
      </c>
    </row>
    <row r="184" spans="2:10" ht="15.75" hidden="1" thickBot="1" x14ac:dyDescent="0.3">
      <c r="B184" s="130" t="s">
        <v>641</v>
      </c>
      <c r="C184" s="130" t="s">
        <v>645</v>
      </c>
      <c r="D184" s="3">
        <v>7.0000000000000007E-2</v>
      </c>
      <c r="E184" s="3">
        <v>0.3</v>
      </c>
      <c r="F184" s="3">
        <v>1.18</v>
      </c>
      <c r="G184" s="3">
        <v>0.67</v>
      </c>
      <c r="H184" s="3">
        <v>0.22</v>
      </c>
      <c r="I184" s="3">
        <v>2.44</v>
      </c>
      <c r="J184" s="3">
        <v>0</v>
      </c>
    </row>
    <row r="185" spans="2:10" ht="15.75" hidden="1" thickBot="1" x14ac:dyDescent="0.3">
      <c r="B185" s="130" t="s">
        <v>641</v>
      </c>
      <c r="C185" s="130" t="s">
        <v>646</v>
      </c>
      <c r="D185" s="3" t="s">
        <v>139</v>
      </c>
      <c r="E185" s="3" t="s">
        <v>139</v>
      </c>
      <c r="F185" s="3">
        <v>0.01</v>
      </c>
      <c r="G185" s="3" t="s">
        <v>139</v>
      </c>
      <c r="H185" s="3">
        <v>0.09</v>
      </c>
      <c r="I185" s="3">
        <v>0.1</v>
      </c>
      <c r="J185" s="3">
        <v>0</v>
      </c>
    </row>
    <row r="186" spans="2:10" ht="15.75" hidden="1" thickBot="1" x14ac:dyDescent="0.3">
      <c r="B186" s="130" t="s">
        <v>647</v>
      </c>
      <c r="C186" s="130" t="s">
        <v>648</v>
      </c>
      <c r="D186" s="3">
        <v>0.17</v>
      </c>
      <c r="E186" s="3">
        <v>0.33</v>
      </c>
      <c r="F186" s="3">
        <v>0.11</v>
      </c>
      <c r="G186" s="3">
        <v>0.36</v>
      </c>
      <c r="H186" s="3">
        <v>0.12</v>
      </c>
      <c r="I186" s="3">
        <v>1.0900000000000001</v>
      </c>
      <c r="J186" s="3">
        <v>0</v>
      </c>
    </row>
    <row r="187" spans="2:10" ht="15.75" hidden="1" thickBot="1" x14ac:dyDescent="0.3">
      <c r="B187" s="130" t="s">
        <v>649</v>
      </c>
      <c r="C187" s="130" t="s">
        <v>650</v>
      </c>
      <c r="D187" s="3">
        <v>1.1200000000000001</v>
      </c>
      <c r="E187" s="3">
        <v>1.6</v>
      </c>
      <c r="F187" s="3">
        <v>2.4900000000000002</v>
      </c>
      <c r="G187" s="3">
        <v>1.64</v>
      </c>
      <c r="H187" s="3">
        <v>1.37</v>
      </c>
      <c r="I187" s="3">
        <v>8.23</v>
      </c>
      <c r="J187" s="3">
        <v>0</v>
      </c>
    </row>
    <row r="188" spans="2:10" ht="15.75" hidden="1" thickBot="1" x14ac:dyDescent="0.3">
      <c r="B188" s="130" t="s">
        <v>649</v>
      </c>
      <c r="C188" s="130" t="s">
        <v>651</v>
      </c>
      <c r="D188" s="3">
        <v>0.56999999999999995</v>
      </c>
      <c r="E188" s="3">
        <v>0.28999999999999998</v>
      </c>
      <c r="F188" s="3">
        <v>3.22</v>
      </c>
      <c r="G188" s="3">
        <v>1.8</v>
      </c>
      <c r="H188" s="3">
        <v>0.56000000000000005</v>
      </c>
      <c r="I188" s="3">
        <v>6.43</v>
      </c>
      <c r="J188" s="3">
        <v>0</v>
      </c>
    </row>
    <row r="189" spans="2:10" ht="15.75" hidden="1" thickBot="1" x14ac:dyDescent="0.3">
      <c r="B189" s="130" t="s">
        <v>649</v>
      </c>
      <c r="C189" s="130" t="s">
        <v>652</v>
      </c>
      <c r="D189" s="3" t="s">
        <v>139</v>
      </c>
      <c r="E189" s="3">
        <v>0.3</v>
      </c>
      <c r="F189" s="3" t="s">
        <v>139</v>
      </c>
      <c r="G189" s="3" t="s">
        <v>139</v>
      </c>
      <c r="H189" s="3" t="s">
        <v>139</v>
      </c>
      <c r="I189" s="3">
        <v>0.3</v>
      </c>
      <c r="J189" s="3">
        <v>0</v>
      </c>
    </row>
    <row r="190" spans="2:10" ht="15.75" hidden="1" thickBot="1" x14ac:dyDescent="0.3">
      <c r="B190" s="130" t="s">
        <v>649</v>
      </c>
      <c r="C190" s="130" t="s">
        <v>653</v>
      </c>
      <c r="D190" s="3" t="s">
        <v>139</v>
      </c>
      <c r="E190" s="3" t="s">
        <v>139</v>
      </c>
      <c r="F190" s="3">
        <v>0.14000000000000001</v>
      </c>
      <c r="G190" s="3">
        <v>0.04</v>
      </c>
      <c r="H190" s="3" t="s">
        <v>139</v>
      </c>
      <c r="I190" s="3">
        <v>0.18</v>
      </c>
      <c r="J190" s="3">
        <v>0</v>
      </c>
    </row>
    <row r="191" spans="2:10" ht="15.75" hidden="1" thickBot="1" x14ac:dyDescent="0.3">
      <c r="B191" s="130" t="s">
        <v>649</v>
      </c>
      <c r="C191" s="130" t="s">
        <v>654</v>
      </c>
      <c r="D191" s="3" t="s">
        <v>139</v>
      </c>
      <c r="E191" s="3">
        <v>0.01</v>
      </c>
      <c r="F191" s="3">
        <v>0.14000000000000001</v>
      </c>
      <c r="G191" s="3">
        <v>0.03</v>
      </c>
      <c r="H191" s="3" t="s">
        <v>139</v>
      </c>
      <c r="I191" s="3">
        <v>0.17</v>
      </c>
      <c r="J191" s="3">
        <v>0</v>
      </c>
    </row>
    <row r="192" spans="2:10" ht="15.75" hidden="1" thickBot="1" x14ac:dyDescent="0.3">
      <c r="B192" s="130" t="s">
        <v>649</v>
      </c>
      <c r="C192" s="130" t="s">
        <v>655</v>
      </c>
      <c r="D192" s="3">
        <v>0.17</v>
      </c>
      <c r="E192" s="3">
        <v>0.21</v>
      </c>
      <c r="F192" s="3">
        <v>0.9</v>
      </c>
      <c r="G192" s="3">
        <v>0.05</v>
      </c>
      <c r="H192" s="3">
        <v>0.04</v>
      </c>
      <c r="I192" s="3">
        <v>1.38</v>
      </c>
      <c r="J192" s="3">
        <v>0</v>
      </c>
    </row>
    <row r="193" spans="2:10" ht="15.75" hidden="1" thickBot="1" x14ac:dyDescent="0.3">
      <c r="B193" s="130" t="s">
        <v>649</v>
      </c>
      <c r="C193" s="130" t="s">
        <v>656</v>
      </c>
      <c r="D193" s="3">
        <v>1.51</v>
      </c>
      <c r="E193" s="3">
        <v>0.31</v>
      </c>
      <c r="F193" s="3">
        <v>4</v>
      </c>
      <c r="G193" s="3">
        <v>0.7</v>
      </c>
      <c r="H193" s="3">
        <v>0.47</v>
      </c>
      <c r="I193" s="3">
        <v>7</v>
      </c>
      <c r="J193" s="3">
        <v>0</v>
      </c>
    </row>
    <row r="194" spans="2:10" ht="15.75" hidden="1" thickBot="1" x14ac:dyDescent="0.3">
      <c r="B194" s="130" t="s">
        <v>657</v>
      </c>
      <c r="C194" s="130" t="s">
        <v>658</v>
      </c>
      <c r="D194" s="3">
        <v>0.08</v>
      </c>
      <c r="E194" s="3">
        <v>0.21</v>
      </c>
      <c r="F194" s="3">
        <v>0.36</v>
      </c>
      <c r="G194" s="3">
        <v>0.27</v>
      </c>
      <c r="H194" s="3">
        <v>0.32</v>
      </c>
      <c r="I194" s="3">
        <v>1.25</v>
      </c>
      <c r="J194" s="3">
        <v>0</v>
      </c>
    </row>
    <row r="195" spans="2:10" ht="15.75" hidden="1" thickBot="1" x14ac:dyDescent="0.3">
      <c r="B195" s="130" t="s">
        <v>657</v>
      </c>
      <c r="C195" s="130" t="s">
        <v>659</v>
      </c>
      <c r="D195" s="3">
        <v>4.33</v>
      </c>
      <c r="E195" s="3">
        <v>4.76</v>
      </c>
      <c r="F195" s="3">
        <v>8.36</v>
      </c>
      <c r="G195" s="3">
        <v>8</v>
      </c>
      <c r="H195" s="3">
        <v>19.29</v>
      </c>
      <c r="I195" s="3">
        <v>44.74</v>
      </c>
      <c r="J195" s="3">
        <v>0.02</v>
      </c>
    </row>
    <row r="196" spans="2:10" ht="15.75" hidden="1" thickBot="1" x14ac:dyDescent="0.3">
      <c r="B196" s="130" t="s">
        <v>657</v>
      </c>
      <c r="C196" s="130" t="s">
        <v>660</v>
      </c>
      <c r="D196" s="3" t="s">
        <v>139</v>
      </c>
      <c r="E196" s="3" t="s">
        <v>139</v>
      </c>
      <c r="F196" s="3" t="s">
        <v>139</v>
      </c>
      <c r="G196" s="3" t="s">
        <v>139</v>
      </c>
      <c r="H196" s="3">
        <v>1.57</v>
      </c>
      <c r="I196" s="3">
        <v>1.57</v>
      </c>
      <c r="J196" s="3">
        <v>0</v>
      </c>
    </row>
    <row r="197" spans="2:10" ht="15.75" hidden="1" thickBot="1" x14ac:dyDescent="0.3">
      <c r="B197" s="130" t="s">
        <v>661</v>
      </c>
      <c r="C197" s="130" t="s">
        <v>662</v>
      </c>
      <c r="D197" s="3" t="s">
        <v>139</v>
      </c>
      <c r="E197" s="3" t="s">
        <v>139</v>
      </c>
      <c r="F197" s="3" t="s">
        <v>139</v>
      </c>
      <c r="G197" s="3" t="s">
        <v>139</v>
      </c>
      <c r="H197" s="3">
        <v>0.15</v>
      </c>
      <c r="I197" s="3">
        <v>0.15</v>
      </c>
      <c r="J197" s="3">
        <v>0</v>
      </c>
    </row>
    <row r="198" spans="2:10" ht="15.75" hidden="1" thickBot="1" x14ac:dyDescent="0.3">
      <c r="B198" s="130" t="s">
        <v>661</v>
      </c>
      <c r="C198" s="130" t="s">
        <v>663</v>
      </c>
      <c r="D198" s="3">
        <v>1.99</v>
      </c>
      <c r="E198" s="3">
        <v>4.08</v>
      </c>
      <c r="F198" s="3">
        <v>16.54</v>
      </c>
      <c r="G198" s="3">
        <v>9.42</v>
      </c>
      <c r="H198" s="3">
        <v>1.08</v>
      </c>
      <c r="I198" s="3">
        <v>33.119999999999997</v>
      </c>
      <c r="J198" s="3">
        <v>0.01</v>
      </c>
    </row>
    <row r="199" spans="2:10" ht="15.75" hidden="1" thickBot="1" x14ac:dyDescent="0.3">
      <c r="B199" s="130" t="s">
        <v>664</v>
      </c>
      <c r="C199" s="130" t="s">
        <v>665</v>
      </c>
      <c r="D199" s="3">
        <v>4.8499999999999996</v>
      </c>
      <c r="E199" s="3">
        <v>7.09</v>
      </c>
      <c r="F199" s="3">
        <v>34.340000000000003</v>
      </c>
      <c r="G199" s="3">
        <v>10.45</v>
      </c>
      <c r="H199" s="3">
        <v>1.31</v>
      </c>
      <c r="I199" s="3">
        <v>58.04</v>
      </c>
      <c r="J199" s="3">
        <v>0.03</v>
      </c>
    </row>
    <row r="200" spans="2:10" ht="15.75" hidden="1" thickBot="1" x14ac:dyDescent="0.3">
      <c r="B200" s="130" t="s">
        <v>666</v>
      </c>
      <c r="C200" s="130" t="s">
        <v>667</v>
      </c>
      <c r="D200" s="3" t="s">
        <v>139</v>
      </c>
      <c r="E200" s="3">
        <v>0.22</v>
      </c>
      <c r="F200" s="3">
        <v>0.57999999999999996</v>
      </c>
      <c r="G200" s="3">
        <v>0.43</v>
      </c>
      <c r="H200" s="3">
        <v>0.04</v>
      </c>
      <c r="I200" s="3">
        <v>1.27</v>
      </c>
      <c r="J200" s="3">
        <v>0</v>
      </c>
    </row>
    <row r="201" spans="2:10" ht="15.75" hidden="1" thickBot="1" x14ac:dyDescent="0.3">
      <c r="B201" s="130" t="s">
        <v>666</v>
      </c>
      <c r="C201" s="130" t="s">
        <v>668</v>
      </c>
      <c r="D201" s="3">
        <v>3.25</v>
      </c>
      <c r="E201" s="3">
        <v>16.989999999999998</v>
      </c>
      <c r="F201" s="3">
        <v>49.53</v>
      </c>
      <c r="G201" s="3">
        <v>23.86</v>
      </c>
      <c r="H201" s="3">
        <v>13.74</v>
      </c>
      <c r="I201" s="3">
        <v>107.37</v>
      </c>
      <c r="J201" s="3">
        <v>0.06</v>
      </c>
    </row>
    <row r="202" spans="2:10" ht="15.75" hidden="1" thickBot="1" x14ac:dyDescent="0.3">
      <c r="B202" s="130" t="s">
        <v>669</v>
      </c>
      <c r="C202" s="130" t="s">
        <v>670</v>
      </c>
      <c r="D202" s="3">
        <v>5.45</v>
      </c>
      <c r="E202" s="3">
        <v>13.41</v>
      </c>
      <c r="F202" s="3">
        <v>50.72</v>
      </c>
      <c r="G202" s="3">
        <v>44.02</v>
      </c>
      <c r="H202" s="3">
        <v>30.6</v>
      </c>
      <c r="I202" s="3">
        <v>144.19999999999999</v>
      </c>
      <c r="J202" s="3">
        <v>0.08</v>
      </c>
    </row>
    <row r="203" spans="2:10" ht="15.75" hidden="1" thickBot="1" x14ac:dyDescent="0.3">
      <c r="B203" s="130" t="s">
        <v>671</v>
      </c>
      <c r="C203" s="130" t="s">
        <v>672</v>
      </c>
      <c r="D203" s="3" t="s">
        <v>139</v>
      </c>
      <c r="E203" s="3">
        <v>37.25</v>
      </c>
      <c r="F203" s="3">
        <v>134.55000000000001</v>
      </c>
      <c r="G203" s="3">
        <v>66.180000000000007</v>
      </c>
      <c r="H203" s="3">
        <v>53.91</v>
      </c>
      <c r="I203" s="3">
        <v>291.89</v>
      </c>
      <c r="J203" s="3">
        <v>0.16</v>
      </c>
    </row>
    <row r="204" spans="2:10" ht="15.75" hidden="1" thickBot="1" x14ac:dyDescent="0.3">
      <c r="B204" s="130" t="s">
        <v>673</v>
      </c>
      <c r="C204" s="130" t="s">
        <v>674</v>
      </c>
      <c r="D204" s="3">
        <v>0.26</v>
      </c>
      <c r="E204" s="3">
        <v>0.59</v>
      </c>
      <c r="F204" s="3">
        <v>3.84</v>
      </c>
      <c r="G204" s="3">
        <v>1.24</v>
      </c>
      <c r="H204" s="3">
        <v>0.46</v>
      </c>
      <c r="I204" s="3">
        <v>6.38</v>
      </c>
      <c r="J204" s="3">
        <v>0</v>
      </c>
    </row>
    <row r="205" spans="2:10" ht="15.75" hidden="1" thickBot="1" x14ac:dyDescent="0.3">
      <c r="B205" s="130" t="s">
        <v>673</v>
      </c>
      <c r="C205" s="130" t="s">
        <v>675</v>
      </c>
      <c r="D205" s="3">
        <v>0.01</v>
      </c>
      <c r="E205" s="3">
        <v>0.17</v>
      </c>
      <c r="F205" s="3">
        <v>0.56999999999999995</v>
      </c>
      <c r="G205" s="3">
        <v>0.33</v>
      </c>
      <c r="H205" s="3">
        <v>0.13</v>
      </c>
      <c r="I205" s="3">
        <v>1.21</v>
      </c>
      <c r="J205" s="3">
        <v>0</v>
      </c>
    </row>
    <row r="206" spans="2:10" ht="15.75" hidden="1" thickBot="1" x14ac:dyDescent="0.3">
      <c r="B206" s="130" t="s">
        <v>673</v>
      </c>
      <c r="C206" s="130" t="s">
        <v>676</v>
      </c>
      <c r="D206" s="3" t="s">
        <v>139</v>
      </c>
      <c r="E206" s="3" t="s">
        <v>139</v>
      </c>
      <c r="F206" s="3" t="s">
        <v>139</v>
      </c>
      <c r="G206" s="3">
        <v>0.05</v>
      </c>
      <c r="H206" s="3" t="s">
        <v>139</v>
      </c>
      <c r="I206" s="3">
        <v>0.05</v>
      </c>
      <c r="J206" s="3">
        <v>0</v>
      </c>
    </row>
    <row r="207" spans="2:10" ht="15.75" hidden="1" thickBot="1" x14ac:dyDescent="0.3">
      <c r="B207" s="130" t="s">
        <v>673</v>
      </c>
      <c r="C207" s="130" t="s">
        <v>677</v>
      </c>
      <c r="D207" s="3">
        <v>0.01</v>
      </c>
      <c r="E207" s="3">
        <v>0.08</v>
      </c>
      <c r="F207" s="3">
        <v>0.46</v>
      </c>
      <c r="G207" s="3">
        <v>7.0000000000000007E-2</v>
      </c>
      <c r="H207" s="3">
        <v>0.03</v>
      </c>
      <c r="I207" s="3">
        <v>0.66</v>
      </c>
      <c r="J207" s="3">
        <v>0</v>
      </c>
    </row>
    <row r="208" spans="2:10" ht="15.75" hidden="1" thickBot="1" x14ac:dyDescent="0.3">
      <c r="B208" s="130" t="s">
        <v>673</v>
      </c>
      <c r="C208" s="130" t="s">
        <v>678</v>
      </c>
      <c r="D208" s="3">
        <v>0.46</v>
      </c>
      <c r="E208" s="3">
        <v>0.93</v>
      </c>
      <c r="F208" s="3">
        <v>2.84</v>
      </c>
      <c r="G208" s="3">
        <v>0.82</v>
      </c>
      <c r="H208" s="3">
        <v>0.34</v>
      </c>
      <c r="I208" s="3">
        <v>5.38</v>
      </c>
      <c r="J208" s="3">
        <v>0</v>
      </c>
    </row>
    <row r="209" spans="2:10" ht="15.75" hidden="1" thickBot="1" x14ac:dyDescent="0.3">
      <c r="B209" s="130" t="s">
        <v>679</v>
      </c>
      <c r="C209" s="130" t="s">
        <v>680</v>
      </c>
      <c r="D209" s="3" t="s">
        <v>139</v>
      </c>
      <c r="E209" s="3">
        <v>0.38</v>
      </c>
      <c r="F209" s="3">
        <v>0.57999999999999996</v>
      </c>
      <c r="G209" s="3">
        <v>0.24</v>
      </c>
      <c r="H209" s="3" t="s">
        <v>139</v>
      </c>
      <c r="I209" s="3">
        <v>1.2</v>
      </c>
      <c r="J209" s="3">
        <v>0</v>
      </c>
    </row>
    <row r="210" spans="2:10" ht="15.75" hidden="1" thickBot="1" x14ac:dyDescent="0.3">
      <c r="B210" s="130" t="s">
        <v>679</v>
      </c>
      <c r="C210" s="130" t="s">
        <v>681</v>
      </c>
      <c r="D210" s="3">
        <v>3.36</v>
      </c>
      <c r="E210" s="3">
        <v>12.02</v>
      </c>
      <c r="F210" s="3">
        <v>35.57</v>
      </c>
      <c r="G210" s="3">
        <v>17.3</v>
      </c>
      <c r="H210" s="3">
        <v>24.99</v>
      </c>
      <c r="I210" s="3">
        <v>93.25</v>
      </c>
      <c r="J210" s="3">
        <v>0.05</v>
      </c>
    </row>
    <row r="211" spans="2:10" ht="15.75" hidden="1" thickBot="1" x14ac:dyDescent="0.3">
      <c r="B211" s="130" t="s">
        <v>682</v>
      </c>
      <c r="C211" s="130" t="s">
        <v>683</v>
      </c>
      <c r="D211" s="3" t="s">
        <v>139</v>
      </c>
      <c r="E211" s="3" t="s">
        <v>139</v>
      </c>
      <c r="F211" s="3">
        <v>5.43</v>
      </c>
      <c r="G211" s="3">
        <v>2.71</v>
      </c>
      <c r="H211" s="3">
        <v>2.71</v>
      </c>
      <c r="I211" s="3">
        <v>10.84</v>
      </c>
      <c r="J211" s="3">
        <v>0</v>
      </c>
    </row>
    <row r="212" spans="2:10" ht="15.75" hidden="1" thickBot="1" x14ac:dyDescent="0.3">
      <c r="B212" s="130" t="s">
        <v>684</v>
      </c>
      <c r="C212" s="130" t="s">
        <v>685</v>
      </c>
      <c r="D212" s="3" t="s">
        <v>139</v>
      </c>
      <c r="E212" s="3">
        <v>0.23</v>
      </c>
      <c r="F212" s="3">
        <v>0.45</v>
      </c>
      <c r="G212" s="3">
        <v>2.04</v>
      </c>
      <c r="H212" s="3" t="s">
        <v>139</v>
      </c>
      <c r="I212" s="3">
        <v>2.72</v>
      </c>
      <c r="J212" s="3">
        <v>0</v>
      </c>
    </row>
    <row r="213" spans="2:10" ht="15.75" hidden="1" thickBot="1" x14ac:dyDescent="0.3">
      <c r="B213" s="130" t="s">
        <v>686</v>
      </c>
      <c r="C213" s="130" t="s">
        <v>687</v>
      </c>
      <c r="D213" s="3" t="s">
        <v>139</v>
      </c>
      <c r="E213" s="3">
        <v>1.99</v>
      </c>
      <c r="F213" s="3">
        <v>1.1100000000000001</v>
      </c>
      <c r="G213" s="3">
        <v>0.44</v>
      </c>
      <c r="H213" s="3">
        <v>0.88</v>
      </c>
      <c r="I213" s="3">
        <v>4.42</v>
      </c>
      <c r="J213" s="3">
        <v>0</v>
      </c>
    </row>
    <row r="214" spans="2:10" ht="15.75" hidden="1" thickBot="1" x14ac:dyDescent="0.3">
      <c r="B214" s="130" t="s">
        <v>688</v>
      </c>
      <c r="C214" s="130" t="s">
        <v>689</v>
      </c>
      <c r="D214" s="3" t="s">
        <v>139</v>
      </c>
      <c r="E214" s="3">
        <v>2.36</v>
      </c>
      <c r="F214" s="3">
        <v>13.06</v>
      </c>
      <c r="G214" s="3">
        <v>0.41</v>
      </c>
      <c r="H214" s="3">
        <v>1.81</v>
      </c>
      <c r="I214" s="3">
        <v>17.64</v>
      </c>
      <c r="J214" s="3">
        <v>0</v>
      </c>
    </row>
    <row r="215" spans="2:10" ht="15.75" hidden="1" thickBot="1" x14ac:dyDescent="0.3">
      <c r="B215" s="130" t="s">
        <v>690</v>
      </c>
      <c r="C215" s="130" t="s">
        <v>691</v>
      </c>
      <c r="D215" s="3" t="s">
        <v>139</v>
      </c>
      <c r="E215" s="3">
        <v>1.38</v>
      </c>
      <c r="F215" s="3" t="s">
        <v>139</v>
      </c>
      <c r="G215" s="3">
        <v>4.59</v>
      </c>
      <c r="H215" s="3" t="s">
        <v>139</v>
      </c>
      <c r="I215" s="3">
        <v>5.97</v>
      </c>
      <c r="J215" s="3">
        <v>0</v>
      </c>
    </row>
    <row r="216" spans="2:10" ht="15.75" hidden="1" thickBot="1" x14ac:dyDescent="0.3">
      <c r="B216" s="130" t="s">
        <v>692</v>
      </c>
      <c r="C216" s="130" t="s">
        <v>693</v>
      </c>
      <c r="D216" s="3" t="s">
        <v>139</v>
      </c>
      <c r="E216" s="3">
        <v>0.46</v>
      </c>
      <c r="F216" s="3">
        <v>0.15</v>
      </c>
      <c r="G216" s="3">
        <v>0.31</v>
      </c>
      <c r="H216" s="3">
        <v>0.31</v>
      </c>
      <c r="I216" s="3">
        <v>1.24</v>
      </c>
      <c r="J216" s="3">
        <v>0</v>
      </c>
    </row>
    <row r="217" spans="2:10" ht="15.75" hidden="1" thickBot="1" x14ac:dyDescent="0.3">
      <c r="B217" s="130" t="s">
        <v>692</v>
      </c>
      <c r="C217" s="130" t="s">
        <v>694</v>
      </c>
      <c r="D217" s="3" t="s">
        <v>139</v>
      </c>
      <c r="E217" s="3">
        <v>0.4</v>
      </c>
      <c r="F217" s="3">
        <v>1.19</v>
      </c>
      <c r="G217" s="3">
        <v>0.4</v>
      </c>
      <c r="H217" s="3">
        <v>0.59</v>
      </c>
      <c r="I217" s="3">
        <v>2.58</v>
      </c>
      <c r="J217" s="3">
        <v>0</v>
      </c>
    </row>
    <row r="218" spans="2:10" ht="15.75" hidden="1" thickBot="1" x14ac:dyDescent="0.3">
      <c r="B218" s="130" t="s">
        <v>695</v>
      </c>
      <c r="C218" s="130" t="s">
        <v>696</v>
      </c>
      <c r="D218" s="3">
        <v>0.05</v>
      </c>
      <c r="E218" s="3">
        <v>0.05</v>
      </c>
      <c r="F218" s="3">
        <v>0.28000000000000003</v>
      </c>
      <c r="G218" s="3">
        <v>0.05</v>
      </c>
      <c r="H218" s="3">
        <v>0.02</v>
      </c>
      <c r="I218" s="3">
        <v>0.45</v>
      </c>
      <c r="J218" s="3">
        <v>0</v>
      </c>
    </row>
    <row r="219" spans="2:10" ht="15.75" hidden="1" thickBot="1" x14ac:dyDescent="0.3">
      <c r="B219" s="130" t="s">
        <v>695</v>
      </c>
      <c r="C219" s="130" t="s">
        <v>697</v>
      </c>
      <c r="D219" s="3" t="s">
        <v>139</v>
      </c>
      <c r="E219" s="3" t="s">
        <v>139</v>
      </c>
      <c r="F219" s="3">
        <v>0.52</v>
      </c>
      <c r="G219" s="3" t="s">
        <v>139</v>
      </c>
      <c r="H219" s="3" t="s">
        <v>139</v>
      </c>
      <c r="I219" s="3">
        <v>0.52</v>
      </c>
      <c r="J219" s="3">
        <v>0</v>
      </c>
    </row>
    <row r="220" spans="2:10" ht="15.75" hidden="1" thickBot="1" x14ac:dyDescent="0.3">
      <c r="B220" s="130" t="s">
        <v>695</v>
      </c>
      <c r="C220" s="130" t="s">
        <v>698</v>
      </c>
      <c r="D220" s="3">
        <v>0.05</v>
      </c>
      <c r="E220" s="3">
        <v>0.05</v>
      </c>
      <c r="F220" s="3">
        <v>0.32</v>
      </c>
      <c r="G220" s="3">
        <v>0.11</v>
      </c>
      <c r="H220" s="3" t="s">
        <v>139</v>
      </c>
      <c r="I220" s="3">
        <v>0.53</v>
      </c>
      <c r="J220" s="3">
        <v>0</v>
      </c>
    </row>
    <row r="221" spans="2:10" ht="15.75" hidden="1" thickBot="1" x14ac:dyDescent="0.3">
      <c r="B221" s="128" t="s">
        <v>699</v>
      </c>
      <c r="C221" s="130"/>
      <c r="D221" s="3">
        <v>100.28</v>
      </c>
      <c r="E221" s="3">
        <v>507.81</v>
      </c>
      <c r="F221" s="129">
        <v>2205.39</v>
      </c>
      <c r="G221" s="129">
        <v>1083.95</v>
      </c>
      <c r="H221" s="129">
        <v>1223.67</v>
      </c>
      <c r="I221" s="129">
        <v>5121.1099999999997</v>
      </c>
      <c r="J221" s="3">
        <v>2.9</v>
      </c>
    </row>
    <row r="222" spans="2:10" ht="15.75" hidden="1" thickBot="1" x14ac:dyDescent="0.3">
      <c r="B222" s="130" t="s">
        <v>700</v>
      </c>
      <c r="C222" s="130" t="s">
        <v>701</v>
      </c>
      <c r="D222" s="3">
        <v>0.05</v>
      </c>
      <c r="E222" s="3">
        <v>11.88</v>
      </c>
      <c r="F222" s="3">
        <v>111.62</v>
      </c>
      <c r="G222" s="3">
        <v>48.27</v>
      </c>
      <c r="H222" s="3">
        <v>23.13</v>
      </c>
      <c r="I222" s="3">
        <v>194.94</v>
      </c>
      <c r="J222" s="3">
        <v>0.11</v>
      </c>
    </row>
    <row r="223" spans="2:10" ht="15.75" hidden="1" thickBot="1" x14ac:dyDescent="0.3">
      <c r="B223" s="130" t="s">
        <v>700</v>
      </c>
      <c r="C223" s="130" t="s">
        <v>702</v>
      </c>
      <c r="D223" s="3">
        <v>3.41</v>
      </c>
      <c r="E223" s="3">
        <v>12.1</v>
      </c>
      <c r="F223" s="3">
        <v>36.520000000000003</v>
      </c>
      <c r="G223" s="3">
        <v>20.21</v>
      </c>
      <c r="H223" s="3">
        <v>8.98</v>
      </c>
      <c r="I223" s="3">
        <v>81.209999999999994</v>
      </c>
      <c r="J223" s="3">
        <v>0.04</v>
      </c>
    </row>
    <row r="224" spans="2:10" ht="15.75" hidden="1" thickBot="1" x14ac:dyDescent="0.3">
      <c r="B224" s="130" t="s">
        <v>700</v>
      </c>
      <c r="C224" s="130" t="s">
        <v>703</v>
      </c>
      <c r="D224" s="3">
        <v>3.32</v>
      </c>
      <c r="E224" s="3">
        <v>10.16</v>
      </c>
      <c r="F224" s="3">
        <v>35.47</v>
      </c>
      <c r="G224" s="3">
        <v>22.35</v>
      </c>
      <c r="H224" s="3">
        <v>48.64</v>
      </c>
      <c r="I224" s="3">
        <v>119.93</v>
      </c>
      <c r="J224" s="3">
        <v>0.06</v>
      </c>
    </row>
    <row r="225" spans="2:10" ht="15.75" hidden="1" thickBot="1" x14ac:dyDescent="0.3">
      <c r="B225" s="130" t="s">
        <v>700</v>
      </c>
      <c r="C225" s="130" t="s">
        <v>704</v>
      </c>
      <c r="D225" s="3">
        <v>0.19</v>
      </c>
      <c r="E225" s="3">
        <v>4.79</v>
      </c>
      <c r="F225" s="3">
        <v>36.78</v>
      </c>
      <c r="G225" s="3">
        <v>21.26</v>
      </c>
      <c r="H225" s="3">
        <v>35.69</v>
      </c>
      <c r="I225" s="3">
        <v>98.71</v>
      </c>
      <c r="J225" s="3">
        <v>0.05</v>
      </c>
    </row>
    <row r="226" spans="2:10" ht="15.75" thickBot="1" x14ac:dyDescent="0.3">
      <c r="B226" s="130" t="s">
        <v>700</v>
      </c>
      <c r="C226" s="130" t="s">
        <v>705</v>
      </c>
      <c r="D226" s="3" t="s">
        <v>139</v>
      </c>
      <c r="E226" s="3" t="s">
        <v>139</v>
      </c>
      <c r="F226" s="3">
        <v>5.17</v>
      </c>
      <c r="G226" s="3">
        <v>1.72</v>
      </c>
      <c r="H226" s="3" t="s">
        <v>139</v>
      </c>
      <c r="I226" s="3">
        <v>6.9</v>
      </c>
      <c r="J226" s="3">
        <v>0</v>
      </c>
    </row>
    <row r="227" spans="2:10" ht="15.75" thickBot="1" x14ac:dyDescent="0.3">
      <c r="B227" s="130" t="s">
        <v>700</v>
      </c>
      <c r="C227" s="130" t="s">
        <v>706</v>
      </c>
      <c r="D227" s="3" t="s">
        <v>139</v>
      </c>
      <c r="E227" s="3">
        <v>3.8</v>
      </c>
      <c r="F227" s="3">
        <v>2.17</v>
      </c>
      <c r="G227" s="3">
        <v>1.0900000000000001</v>
      </c>
      <c r="H227" s="3">
        <v>5.98</v>
      </c>
      <c r="I227" s="3">
        <v>13.04</v>
      </c>
      <c r="J227" s="3">
        <v>0</v>
      </c>
    </row>
    <row r="228" spans="2:10" ht="15.75" thickBot="1" x14ac:dyDescent="0.3">
      <c r="B228" s="130" t="s">
        <v>700</v>
      </c>
      <c r="C228" s="130" t="s">
        <v>707</v>
      </c>
      <c r="D228" s="3" t="s">
        <v>139</v>
      </c>
      <c r="E228" s="3" t="s">
        <v>139</v>
      </c>
      <c r="F228" s="3">
        <v>13.27</v>
      </c>
      <c r="G228" s="3">
        <v>7.83</v>
      </c>
      <c r="H228" s="3">
        <v>12.47</v>
      </c>
      <c r="I228" s="3">
        <v>33.57</v>
      </c>
      <c r="J228" s="3">
        <v>0.01</v>
      </c>
    </row>
    <row r="229" spans="2:10" ht="15.75" hidden="1" thickBot="1" x14ac:dyDescent="0.3">
      <c r="B229" s="130" t="s">
        <v>708</v>
      </c>
      <c r="C229" s="130" t="s">
        <v>709</v>
      </c>
      <c r="D229" s="3" t="s">
        <v>139</v>
      </c>
      <c r="E229" s="3">
        <v>3.61</v>
      </c>
      <c r="F229" s="3">
        <v>2.97</v>
      </c>
      <c r="G229" s="3">
        <v>1.06</v>
      </c>
      <c r="H229" s="3">
        <v>2.5499999999999998</v>
      </c>
      <c r="I229" s="3">
        <v>10.19</v>
      </c>
      <c r="J229" s="3">
        <v>0</v>
      </c>
    </row>
    <row r="230" spans="2:10" ht="15.75" hidden="1" thickBot="1" x14ac:dyDescent="0.3">
      <c r="B230" s="130" t="s">
        <v>710</v>
      </c>
      <c r="C230" s="130" t="s">
        <v>711</v>
      </c>
      <c r="D230" s="3">
        <v>0.23</v>
      </c>
      <c r="E230" s="3">
        <v>1.23</v>
      </c>
      <c r="F230" s="3">
        <v>4.1500000000000004</v>
      </c>
      <c r="G230" s="3">
        <v>0.98</v>
      </c>
      <c r="H230" s="3">
        <v>1.31</v>
      </c>
      <c r="I230" s="3">
        <v>7.9</v>
      </c>
      <c r="J230" s="3">
        <v>0</v>
      </c>
    </row>
    <row r="231" spans="2:10" ht="15.75" hidden="1" thickBot="1" x14ac:dyDescent="0.3">
      <c r="B231" s="130" t="s">
        <v>710</v>
      </c>
      <c r="C231" s="130" t="s">
        <v>712</v>
      </c>
      <c r="D231" s="3" t="s">
        <v>139</v>
      </c>
      <c r="E231" s="3">
        <v>0.59</v>
      </c>
      <c r="F231" s="3">
        <v>4.9000000000000004</v>
      </c>
      <c r="G231" s="3">
        <v>11.65</v>
      </c>
      <c r="H231" s="3">
        <v>11.2</v>
      </c>
      <c r="I231" s="3">
        <v>28.33</v>
      </c>
      <c r="J231" s="3">
        <v>0.01</v>
      </c>
    </row>
    <row r="232" spans="2:10" ht="15.75" hidden="1" thickBot="1" x14ac:dyDescent="0.3">
      <c r="B232" s="130" t="s">
        <v>713</v>
      </c>
      <c r="C232" s="130" t="s">
        <v>714</v>
      </c>
      <c r="D232" s="3">
        <v>0.54</v>
      </c>
      <c r="E232" s="3">
        <v>0.69</v>
      </c>
      <c r="F232" s="3">
        <v>2.12</v>
      </c>
      <c r="G232" s="3">
        <v>2.94</v>
      </c>
      <c r="H232" s="3">
        <v>1.52</v>
      </c>
      <c r="I232" s="3">
        <v>7.8</v>
      </c>
      <c r="J232" s="3">
        <v>0</v>
      </c>
    </row>
    <row r="233" spans="2:10" ht="15.75" hidden="1" thickBot="1" x14ac:dyDescent="0.3">
      <c r="B233" s="130" t="s">
        <v>715</v>
      </c>
      <c r="C233" s="130" t="s">
        <v>716</v>
      </c>
      <c r="D233" s="3" t="s">
        <v>139</v>
      </c>
      <c r="E233" s="3">
        <v>0.35</v>
      </c>
      <c r="F233" s="3">
        <v>2.4</v>
      </c>
      <c r="G233" s="3">
        <v>2.16</v>
      </c>
      <c r="H233" s="3">
        <v>1.31</v>
      </c>
      <c r="I233" s="3">
        <v>6.22</v>
      </c>
      <c r="J233" s="3">
        <v>0</v>
      </c>
    </row>
    <row r="234" spans="2:10" ht="15.75" hidden="1" thickBot="1" x14ac:dyDescent="0.3">
      <c r="B234" s="130" t="s">
        <v>715</v>
      </c>
      <c r="C234" s="130" t="s">
        <v>717</v>
      </c>
      <c r="D234" s="3" t="s">
        <v>139</v>
      </c>
      <c r="E234" s="3">
        <v>0.71</v>
      </c>
      <c r="F234" s="3">
        <v>8.48</v>
      </c>
      <c r="G234" s="3">
        <v>1.77</v>
      </c>
      <c r="H234" s="3">
        <v>0.35</v>
      </c>
      <c r="I234" s="3">
        <v>11.31</v>
      </c>
      <c r="J234" s="3">
        <v>0</v>
      </c>
    </row>
    <row r="235" spans="2:10" ht="15.75" hidden="1" thickBot="1" x14ac:dyDescent="0.3">
      <c r="B235" s="130" t="s">
        <v>715</v>
      </c>
      <c r="C235" s="130" t="s">
        <v>718</v>
      </c>
      <c r="D235" s="3">
        <v>0.24</v>
      </c>
      <c r="E235" s="3">
        <v>5.65</v>
      </c>
      <c r="F235" s="3">
        <v>6.88</v>
      </c>
      <c r="G235" s="3">
        <v>10.34</v>
      </c>
      <c r="H235" s="3">
        <v>17.47</v>
      </c>
      <c r="I235" s="3">
        <v>40.57</v>
      </c>
      <c r="J235" s="3">
        <v>0.02</v>
      </c>
    </row>
    <row r="236" spans="2:10" ht="15.75" hidden="1" thickBot="1" x14ac:dyDescent="0.3">
      <c r="B236" s="130" t="s">
        <v>715</v>
      </c>
      <c r="C236" s="130" t="s">
        <v>719</v>
      </c>
      <c r="D236" s="3" t="s">
        <v>139</v>
      </c>
      <c r="E236" s="3">
        <v>2.56</v>
      </c>
      <c r="F236" s="3">
        <v>12.77</v>
      </c>
      <c r="G236" s="3">
        <v>5.36</v>
      </c>
      <c r="H236" s="3">
        <v>11.65</v>
      </c>
      <c r="I236" s="3">
        <v>32.33</v>
      </c>
      <c r="J236" s="3">
        <v>0.01</v>
      </c>
    </row>
    <row r="237" spans="2:10" ht="15.75" hidden="1" thickBot="1" x14ac:dyDescent="0.3">
      <c r="B237" s="130" t="s">
        <v>715</v>
      </c>
      <c r="C237" s="130" t="s">
        <v>720</v>
      </c>
      <c r="D237" s="3">
        <v>2.08</v>
      </c>
      <c r="E237" s="3">
        <v>0.92</v>
      </c>
      <c r="F237" s="3">
        <v>14.09</v>
      </c>
      <c r="G237" s="3">
        <v>1.39</v>
      </c>
      <c r="H237" s="3">
        <v>0.46</v>
      </c>
      <c r="I237" s="3">
        <v>18.940000000000001</v>
      </c>
      <c r="J237" s="3">
        <v>0.01</v>
      </c>
    </row>
    <row r="238" spans="2:10" ht="15.75" thickBot="1" x14ac:dyDescent="0.3">
      <c r="B238" s="130" t="s">
        <v>715</v>
      </c>
      <c r="C238" s="130" t="s">
        <v>721</v>
      </c>
      <c r="D238" s="3">
        <v>0.28000000000000003</v>
      </c>
      <c r="E238" s="3">
        <v>0.28000000000000003</v>
      </c>
      <c r="F238" s="3">
        <v>1.1399999999999999</v>
      </c>
      <c r="G238" s="3">
        <v>2.84</v>
      </c>
      <c r="H238" s="3">
        <v>1.87</v>
      </c>
      <c r="I238" s="3">
        <v>6.41</v>
      </c>
      <c r="J238" s="3">
        <v>0</v>
      </c>
    </row>
    <row r="239" spans="2:10" ht="15.75" hidden="1" thickBot="1" x14ac:dyDescent="0.3">
      <c r="B239" s="130" t="s">
        <v>722</v>
      </c>
      <c r="C239" s="130" t="s">
        <v>723</v>
      </c>
      <c r="D239" s="3">
        <v>0.24</v>
      </c>
      <c r="E239" s="3">
        <v>3.67</v>
      </c>
      <c r="F239" s="3">
        <v>7.2</v>
      </c>
      <c r="G239" s="3">
        <v>3.07</v>
      </c>
      <c r="H239" s="3">
        <v>1.31</v>
      </c>
      <c r="I239" s="3">
        <v>15.49</v>
      </c>
      <c r="J239" s="3">
        <v>0</v>
      </c>
    </row>
    <row r="240" spans="2:10" ht="15.75" hidden="1" thickBot="1" x14ac:dyDescent="0.3">
      <c r="B240" s="130" t="s">
        <v>722</v>
      </c>
      <c r="C240" s="130" t="s">
        <v>724</v>
      </c>
      <c r="D240" s="3" t="s">
        <v>139</v>
      </c>
      <c r="E240" s="3" t="s">
        <v>139</v>
      </c>
      <c r="F240" s="3">
        <v>0.48</v>
      </c>
      <c r="G240" s="3">
        <v>0.22</v>
      </c>
      <c r="H240" s="3" t="s">
        <v>139</v>
      </c>
      <c r="I240" s="3">
        <v>0.7</v>
      </c>
      <c r="J240" s="3">
        <v>0</v>
      </c>
    </row>
    <row r="241" spans="2:10" ht="15.75" hidden="1" thickBot="1" x14ac:dyDescent="0.3">
      <c r="B241" s="130" t="s">
        <v>722</v>
      </c>
      <c r="C241" s="130" t="s">
        <v>725</v>
      </c>
      <c r="D241" s="3" t="s">
        <v>139</v>
      </c>
      <c r="E241" s="3">
        <v>2.68</v>
      </c>
      <c r="F241" s="3">
        <v>2.06</v>
      </c>
      <c r="G241" s="3">
        <v>0.89</v>
      </c>
      <c r="H241" s="3">
        <v>1.34</v>
      </c>
      <c r="I241" s="3">
        <v>6.98</v>
      </c>
      <c r="J241" s="3">
        <v>0</v>
      </c>
    </row>
    <row r="242" spans="2:10" ht="15.75" hidden="1" thickBot="1" x14ac:dyDescent="0.3">
      <c r="B242" s="130" t="s">
        <v>726</v>
      </c>
      <c r="C242" s="130" t="s">
        <v>727</v>
      </c>
      <c r="D242" s="3">
        <v>1.26</v>
      </c>
      <c r="E242" s="3">
        <v>1.26</v>
      </c>
      <c r="F242" s="3">
        <v>7.55</v>
      </c>
      <c r="G242" s="3">
        <v>3.14</v>
      </c>
      <c r="H242" s="3">
        <v>1.68</v>
      </c>
      <c r="I242" s="3">
        <v>14.89</v>
      </c>
      <c r="J242" s="3">
        <v>0</v>
      </c>
    </row>
    <row r="243" spans="2:10" ht="15.75" hidden="1" thickBot="1" x14ac:dyDescent="0.3">
      <c r="B243" s="130" t="s">
        <v>726</v>
      </c>
      <c r="C243" s="130" t="s">
        <v>728</v>
      </c>
      <c r="D243" s="3">
        <v>0.04</v>
      </c>
      <c r="E243" s="3">
        <v>0.13</v>
      </c>
      <c r="F243" s="3">
        <v>0.54</v>
      </c>
      <c r="G243" s="3">
        <v>0.45</v>
      </c>
      <c r="H243" s="3">
        <v>0.36</v>
      </c>
      <c r="I243" s="3">
        <v>1.52</v>
      </c>
      <c r="J243" s="3">
        <v>0</v>
      </c>
    </row>
    <row r="244" spans="2:10" ht="15.75" hidden="1" thickBot="1" x14ac:dyDescent="0.3">
      <c r="B244" s="130" t="s">
        <v>729</v>
      </c>
      <c r="C244" s="130" t="s">
        <v>730</v>
      </c>
      <c r="D244" s="3">
        <v>0.15</v>
      </c>
      <c r="E244" s="3">
        <v>2.3199999999999998</v>
      </c>
      <c r="F244" s="3">
        <v>20.100000000000001</v>
      </c>
      <c r="G244" s="3">
        <v>6.88</v>
      </c>
      <c r="H244" s="3">
        <v>12.83</v>
      </c>
      <c r="I244" s="3">
        <v>42.28</v>
      </c>
      <c r="J244" s="3">
        <v>0.02</v>
      </c>
    </row>
    <row r="245" spans="2:10" ht="15.75" hidden="1" thickBot="1" x14ac:dyDescent="0.3">
      <c r="B245" s="130" t="s">
        <v>729</v>
      </c>
      <c r="C245" s="130" t="s">
        <v>731</v>
      </c>
      <c r="D245" s="3">
        <v>0.41</v>
      </c>
      <c r="E245" s="3">
        <v>1.05</v>
      </c>
      <c r="F245" s="3">
        <v>2.0299999999999998</v>
      </c>
      <c r="G245" s="3">
        <v>1.64</v>
      </c>
      <c r="H245" s="3">
        <v>4.3</v>
      </c>
      <c r="I245" s="3">
        <v>9.43</v>
      </c>
      <c r="J245" s="3">
        <v>0</v>
      </c>
    </row>
    <row r="246" spans="2:10" ht="15.75" hidden="1" thickBot="1" x14ac:dyDescent="0.3">
      <c r="B246" s="130" t="s">
        <v>729</v>
      </c>
      <c r="C246" s="130" t="s">
        <v>732</v>
      </c>
      <c r="D246" s="3">
        <v>0.32</v>
      </c>
      <c r="E246" s="3">
        <v>1.01</v>
      </c>
      <c r="F246" s="3">
        <v>29.1</v>
      </c>
      <c r="G246" s="3">
        <v>4.9800000000000004</v>
      </c>
      <c r="H246" s="3">
        <v>25.31</v>
      </c>
      <c r="I246" s="3">
        <v>60.73</v>
      </c>
      <c r="J246" s="3">
        <v>0.03</v>
      </c>
    </row>
    <row r="247" spans="2:10" ht="15.75" hidden="1" thickBot="1" x14ac:dyDescent="0.3">
      <c r="B247" s="130" t="s">
        <v>729</v>
      </c>
      <c r="C247" s="130" t="s">
        <v>733</v>
      </c>
      <c r="D247" s="3" t="s">
        <v>139</v>
      </c>
      <c r="E247" s="3">
        <v>2.13</v>
      </c>
      <c r="F247" s="3">
        <v>5.01</v>
      </c>
      <c r="G247" s="3">
        <v>1.25</v>
      </c>
      <c r="H247" s="3">
        <v>0.68</v>
      </c>
      <c r="I247" s="3">
        <v>9.06</v>
      </c>
      <c r="J247" s="3">
        <v>0</v>
      </c>
    </row>
    <row r="248" spans="2:10" ht="15.75" hidden="1" thickBot="1" x14ac:dyDescent="0.3">
      <c r="B248" s="130" t="s">
        <v>729</v>
      </c>
      <c r="C248" s="130" t="s">
        <v>734</v>
      </c>
      <c r="D248" s="3" t="s">
        <v>139</v>
      </c>
      <c r="E248" s="3">
        <v>2.39</v>
      </c>
      <c r="F248" s="3">
        <v>12.9</v>
      </c>
      <c r="G248" s="3">
        <v>14.23</v>
      </c>
      <c r="H248" s="3">
        <v>21.5</v>
      </c>
      <c r="I248" s="3">
        <v>51.02</v>
      </c>
      <c r="J248" s="3">
        <v>0.02</v>
      </c>
    </row>
    <row r="249" spans="2:10" ht="15.75" hidden="1" thickBot="1" x14ac:dyDescent="0.3">
      <c r="B249" s="130" t="s">
        <v>729</v>
      </c>
      <c r="C249" s="130" t="s">
        <v>735</v>
      </c>
      <c r="D249" s="3">
        <v>0.45</v>
      </c>
      <c r="E249" s="3">
        <v>3.17</v>
      </c>
      <c r="F249" s="3">
        <v>1.36</v>
      </c>
      <c r="G249" s="3">
        <v>18.11</v>
      </c>
      <c r="H249" s="3">
        <v>15.03</v>
      </c>
      <c r="I249" s="3">
        <v>38.11</v>
      </c>
      <c r="J249" s="3">
        <v>0.02</v>
      </c>
    </row>
    <row r="250" spans="2:10" ht="15.75" hidden="1" thickBot="1" x14ac:dyDescent="0.3">
      <c r="B250" s="130" t="s">
        <v>729</v>
      </c>
      <c r="C250" s="130" t="s">
        <v>736</v>
      </c>
      <c r="D250" s="3">
        <v>0.22</v>
      </c>
      <c r="E250" s="3">
        <v>6.41</v>
      </c>
      <c r="F250" s="3">
        <v>5.7</v>
      </c>
      <c r="G250" s="3">
        <v>3.09</v>
      </c>
      <c r="H250" s="3">
        <v>4.8600000000000003</v>
      </c>
      <c r="I250" s="3">
        <v>20.29</v>
      </c>
      <c r="J250" s="3">
        <v>0.01</v>
      </c>
    </row>
    <row r="251" spans="2:10" ht="15.75" hidden="1" thickBot="1" x14ac:dyDescent="0.3">
      <c r="B251" s="130" t="s">
        <v>737</v>
      </c>
      <c r="C251" s="130" t="s">
        <v>738</v>
      </c>
      <c r="D251" s="3" t="s">
        <v>139</v>
      </c>
      <c r="E251" s="3">
        <v>1.1399999999999999</v>
      </c>
      <c r="F251" s="3">
        <v>4.32</v>
      </c>
      <c r="G251" s="3">
        <v>5.45</v>
      </c>
      <c r="H251" s="3" t="s">
        <v>139</v>
      </c>
      <c r="I251" s="3">
        <v>10.91</v>
      </c>
      <c r="J251" s="3">
        <v>0</v>
      </c>
    </row>
    <row r="252" spans="2:10" ht="15.75" hidden="1" thickBot="1" x14ac:dyDescent="0.3">
      <c r="B252" s="130" t="s">
        <v>739</v>
      </c>
      <c r="C252" s="130" t="s">
        <v>740</v>
      </c>
      <c r="D252" s="3" t="s">
        <v>139</v>
      </c>
      <c r="E252" s="3">
        <v>1.2</v>
      </c>
      <c r="F252" s="3">
        <v>0.91</v>
      </c>
      <c r="G252" s="3">
        <v>0.17</v>
      </c>
      <c r="H252" s="3">
        <v>7.0000000000000007E-2</v>
      </c>
      <c r="I252" s="3">
        <v>2.35</v>
      </c>
      <c r="J252" s="3">
        <v>0</v>
      </c>
    </row>
    <row r="253" spans="2:10" ht="15.75" hidden="1" thickBot="1" x14ac:dyDescent="0.3">
      <c r="B253" s="130" t="s">
        <v>741</v>
      </c>
      <c r="C253" s="130" t="s">
        <v>742</v>
      </c>
      <c r="D253" s="3" t="s">
        <v>139</v>
      </c>
      <c r="E253" s="3" t="s">
        <v>139</v>
      </c>
      <c r="F253" s="3" t="s">
        <v>139</v>
      </c>
      <c r="G253" s="3">
        <v>0.11</v>
      </c>
      <c r="H253" s="3" t="s">
        <v>139</v>
      </c>
      <c r="I253" s="3">
        <v>0.11</v>
      </c>
      <c r="J253" s="3">
        <v>0</v>
      </c>
    </row>
    <row r="254" spans="2:10" ht="15.75" hidden="1" thickBot="1" x14ac:dyDescent="0.3">
      <c r="B254" s="130" t="s">
        <v>741</v>
      </c>
      <c r="C254" s="130" t="s">
        <v>743</v>
      </c>
      <c r="D254" s="3" t="s">
        <v>139</v>
      </c>
      <c r="E254" s="3">
        <v>0.89</v>
      </c>
      <c r="F254" s="3">
        <v>0.44</v>
      </c>
      <c r="G254" s="3">
        <v>0.44</v>
      </c>
      <c r="H254" s="3">
        <v>0.44</v>
      </c>
      <c r="I254" s="3">
        <v>2.2200000000000002</v>
      </c>
      <c r="J254" s="3">
        <v>0</v>
      </c>
    </row>
    <row r="255" spans="2:10" ht="15.75" hidden="1" thickBot="1" x14ac:dyDescent="0.3">
      <c r="B255" s="128" t="s">
        <v>744</v>
      </c>
      <c r="C255" s="130"/>
      <c r="D255" s="3">
        <v>13.43</v>
      </c>
      <c r="E255" s="3">
        <v>88.77</v>
      </c>
      <c r="F255" s="3">
        <v>400.58</v>
      </c>
      <c r="G255" s="3">
        <v>227.35</v>
      </c>
      <c r="H255" s="3">
        <v>274.26</v>
      </c>
      <c r="I255" s="129">
        <v>1004.39</v>
      </c>
      <c r="J255" s="3">
        <v>0.56000000000000005</v>
      </c>
    </row>
    <row r="256" spans="2:10" ht="15.75" hidden="1" thickBot="1" x14ac:dyDescent="0.3">
      <c r="B256" s="130" t="s">
        <v>745</v>
      </c>
      <c r="C256" s="130" t="s">
        <v>746</v>
      </c>
      <c r="D256" s="3">
        <v>3.37</v>
      </c>
      <c r="E256" s="3">
        <v>5.99</v>
      </c>
      <c r="F256" s="3">
        <v>36.880000000000003</v>
      </c>
      <c r="G256" s="3">
        <v>19.2</v>
      </c>
      <c r="H256" s="3">
        <v>16.27</v>
      </c>
      <c r="I256" s="3">
        <v>81.709999999999994</v>
      </c>
      <c r="J256" s="3">
        <v>0.04</v>
      </c>
    </row>
    <row r="257" spans="2:10" ht="15.75" hidden="1" thickBot="1" x14ac:dyDescent="0.3">
      <c r="B257" s="130" t="s">
        <v>747</v>
      </c>
      <c r="C257" s="130" t="s">
        <v>748</v>
      </c>
      <c r="D257" s="3">
        <v>5.2</v>
      </c>
      <c r="E257" s="3">
        <v>25.6</v>
      </c>
      <c r="F257" s="3">
        <v>56.79</v>
      </c>
      <c r="G257" s="3">
        <v>37.44</v>
      </c>
      <c r="H257" s="3">
        <v>18.989999999999998</v>
      </c>
      <c r="I257" s="3">
        <v>144.02000000000001</v>
      </c>
      <c r="J257" s="3">
        <v>0.08</v>
      </c>
    </row>
    <row r="258" spans="2:10" ht="15.75" hidden="1" thickBot="1" x14ac:dyDescent="0.3">
      <c r="B258" s="130" t="s">
        <v>747</v>
      </c>
      <c r="C258" s="130" t="s">
        <v>749</v>
      </c>
      <c r="D258" s="3">
        <v>0.48</v>
      </c>
      <c r="E258" s="3">
        <v>0.48</v>
      </c>
      <c r="F258" s="3">
        <v>12.53</v>
      </c>
      <c r="G258" s="3">
        <v>2.14</v>
      </c>
      <c r="H258" s="3">
        <v>4.1399999999999997</v>
      </c>
      <c r="I258" s="3">
        <v>19.77</v>
      </c>
      <c r="J258" s="3">
        <v>0.01</v>
      </c>
    </row>
    <row r="259" spans="2:10" ht="15.75" hidden="1" thickBot="1" x14ac:dyDescent="0.3">
      <c r="B259" s="130" t="s">
        <v>747</v>
      </c>
      <c r="C259" s="130" t="s">
        <v>750</v>
      </c>
      <c r="D259" s="3">
        <v>0.69</v>
      </c>
      <c r="E259" s="3">
        <v>0.69</v>
      </c>
      <c r="F259" s="3">
        <v>10.37</v>
      </c>
      <c r="G259" s="3">
        <v>6.25</v>
      </c>
      <c r="H259" s="3">
        <v>2.78</v>
      </c>
      <c r="I259" s="3">
        <v>20.78</v>
      </c>
      <c r="J259" s="3">
        <v>0.01</v>
      </c>
    </row>
    <row r="260" spans="2:10" ht="15.75" hidden="1" thickBot="1" x14ac:dyDescent="0.3">
      <c r="B260" s="130" t="s">
        <v>751</v>
      </c>
      <c r="C260" s="130" t="s">
        <v>752</v>
      </c>
      <c r="D260" s="3">
        <v>5.1100000000000003</v>
      </c>
      <c r="E260" s="3">
        <v>14.67</v>
      </c>
      <c r="F260" s="3">
        <v>111.33</v>
      </c>
      <c r="G260" s="3">
        <v>55.99</v>
      </c>
      <c r="H260" s="3">
        <v>43.15</v>
      </c>
      <c r="I260" s="3">
        <v>230.25</v>
      </c>
      <c r="J260" s="3">
        <v>0.13</v>
      </c>
    </row>
    <row r="261" spans="2:10" ht="15.75" hidden="1" thickBot="1" x14ac:dyDescent="0.3">
      <c r="B261" s="130" t="s">
        <v>751</v>
      </c>
      <c r="C261" s="130" t="s">
        <v>753</v>
      </c>
      <c r="D261" s="3">
        <v>8.2799999999999994</v>
      </c>
      <c r="E261" s="3">
        <v>8.7799999999999994</v>
      </c>
      <c r="F261" s="3">
        <v>103.29</v>
      </c>
      <c r="G261" s="3">
        <v>70.84</v>
      </c>
      <c r="H261" s="3">
        <v>103.27</v>
      </c>
      <c r="I261" s="3">
        <v>294.47000000000003</v>
      </c>
      <c r="J261" s="3">
        <v>0.16</v>
      </c>
    </row>
    <row r="262" spans="2:10" ht="15.75" thickBot="1" x14ac:dyDescent="0.3">
      <c r="B262" s="130" t="s">
        <v>751</v>
      </c>
      <c r="C262" s="130" t="s">
        <v>754</v>
      </c>
      <c r="D262" s="3" t="s">
        <v>139</v>
      </c>
      <c r="E262" s="3" t="s">
        <v>139</v>
      </c>
      <c r="F262" s="3">
        <v>0.85</v>
      </c>
      <c r="G262" s="3" t="s">
        <v>139</v>
      </c>
      <c r="H262" s="3" t="s">
        <v>139</v>
      </c>
      <c r="I262" s="3">
        <v>0.85</v>
      </c>
      <c r="J262" s="3">
        <v>0</v>
      </c>
    </row>
    <row r="263" spans="2:10" ht="15.75" thickBot="1" x14ac:dyDescent="0.3">
      <c r="B263" s="130" t="s">
        <v>751</v>
      </c>
      <c r="C263" s="130" t="s">
        <v>755</v>
      </c>
      <c r="D263" s="3" t="s">
        <v>139</v>
      </c>
      <c r="E263" s="3" t="s">
        <v>139</v>
      </c>
      <c r="F263" s="3">
        <v>68.010000000000005</v>
      </c>
      <c r="G263" s="3">
        <v>13.67</v>
      </c>
      <c r="H263" s="3">
        <v>26.09</v>
      </c>
      <c r="I263" s="3">
        <v>107.76</v>
      </c>
      <c r="J263" s="3">
        <v>0.06</v>
      </c>
    </row>
    <row r="264" spans="2:10" ht="15.75" thickBot="1" x14ac:dyDescent="0.3">
      <c r="B264" s="130" t="s">
        <v>751</v>
      </c>
      <c r="C264" s="130" t="s">
        <v>756</v>
      </c>
      <c r="D264" s="3" t="s">
        <v>139</v>
      </c>
      <c r="E264" s="3" t="s">
        <v>139</v>
      </c>
      <c r="F264" s="3">
        <v>77.790000000000006</v>
      </c>
      <c r="G264" s="3">
        <v>64.650000000000006</v>
      </c>
      <c r="H264" s="3">
        <v>36.979999999999997</v>
      </c>
      <c r="I264" s="3">
        <v>179.42</v>
      </c>
      <c r="J264" s="3">
        <v>0.1</v>
      </c>
    </row>
    <row r="265" spans="2:10" ht="15.75" thickBot="1" x14ac:dyDescent="0.3">
      <c r="B265" s="130" t="s">
        <v>751</v>
      </c>
      <c r="C265" s="130" t="s">
        <v>757</v>
      </c>
      <c r="D265" s="3">
        <v>2.15</v>
      </c>
      <c r="E265" s="3" t="s">
        <v>139</v>
      </c>
      <c r="F265" s="3">
        <v>23.04</v>
      </c>
      <c r="G265" s="3">
        <v>4.95</v>
      </c>
      <c r="H265" s="3">
        <v>3.23</v>
      </c>
      <c r="I265" s="3">
        <v>33.369999999999997</v>
      </c>
      <c r="J265" s="3">
        <v>0.01</v>
      </c>
    </row>
    <row r="266" spans="2:10" ht="15.75" thickBot="1" x14ac:dyDescent="0.3">
      <c r="B266" s="130" t="s">
        <v>751</v>
      </c>
      <c r="C266" s="130" t="s">
        <v>758</v>
      </c>
      <c r="D266" s="3" t="s">
        <v>139</v>
      </c>
      <c r="E266" s="3" t="s">
        <v>139</v>
      </c>
      <c r="F266" s="3">
        <v>84.56</v>
      </c>
      <c r="G266" s="3">
        <v>30.66</v>
      </c>
      <c r="H266" s="3">
        <v>38.869999999999997</v>
      </c>
      <c r="I266" s="3">
        <v>154.09</v>
      </c>
      <c r="J266" s="3">
        <v>0.08</v>
      </c>
    </row>
    <row r="267" spans="2:10" ht="15.75" hidden="1" thickBot="1" x14ac:dyDescent="0.3">
      <c r="B267" s="130" t="s">
        <v>759</v>
      </c>
      <c r="C267" s="130" t="s">
        <v>760</v>
      </c>
      <c r="D267" s="3">
        <v>2.14</v>
      </c>
      <c r="E267" s="3">
        <v>8.77</v>
      </c>
      <c r="F267" s="3">
        <v>50.2</v>
      </c>
      <c r="G267" s="3">
        <v>28.39</v>
      </c>
      <c r="H267" s="3">
        <v>35.49</v>
      </c>
      <c r="I267" s="3">
        <v>124.98</v>
      </c>
      <c r="J267" s="3">
        <v>7.0000000000000007E-2</v>
      </c>
    </row>
    <row r="268" spans="2:10" ht="15.75" hidden="1" thickBot="1" x14ac:dyDescent="0.3">
      <c r="B268" s="130" t="s">
        <v>759</v>
      </c>
      <c r="C268" s="130" t="s">
        <v>761</v>
      </c>
      <c r="D268" s="3">
        <v>0.08</v>
      </c>
      <c r="E268" s="3">
        <v>0.12</v>
      </c>
      <c r="F268" s="3">
        <v>4.82</v>
      </c>
      <c r="G268" s="3">
        <v>4.53</v>
      </c>
      <c r="H268" s="3">
        <v>4.32</v>
      </c>
      <c r="I268" s="3">
        <v>13.87</v>
      </c>
      <c r="J268" s="3">
        <v>0</v>
      </c>
    </row>
    <row r="269" spans="2:10" ht="15.75" hidden="1" thickBot="1" x14ac:dyDescent="0.3">
      <c r="B269" s="130" t="s">
        <v>759</v>
      </c>
      <c r="C269" s="130" t="s">
        <v>762</v>
      </c>
      <c r="D269" s="3" t="s">
        <v>139</v>
      </c>
      <c r="E269" s="3" t="s">
        <v>139</v>
      </c>
      <c r="F269" s="3">
        <v>1.51</v>
      </c>
      <c r="G269" s="3">
        <v>9.99</v>
      </c>
      <c r="H269" s="3">
        <v>4.95</v>
      </c>
      <c r="I269" s="3">
        <v>16.45</v>
      </c>
      <c r="J269" s="3">
        <v>0</v>
      </c>
    </row>
    <row r="270" spans="2:10" ht="15.75" thickBot="1" x14ac:dyDescent="0.3">
      <c r="B270" s="130" t="s">
        <v>759</v>
      </c>
      <c r="C270" s="130" t="s">
        <v>763</v>
      </c>
      <c r="D270" s="3">
        <v>0.27</v>
      </c>
      <c r="E270" s="3">
        <v>0.27</v>
      </c>
      <c r="F270" s="3">
        <v>8.7100000000000009</v>
      </c>
      <c r="G270" s="3">
        <v>5.99</v>
      </c>
      <c r="H270" s="3">
        <v>11.65</v>
      </c>
      <c r="I270" s="3">
        <v>26.89</v>
      </c>
      <c r="J270" s="3">
        <v>0.01</v>
      </c>
    </row>
    <row r="271" spans="2:10" ht="15.75" thickBot="1" x14ac:dyDescent="0.3">
      <c r="B271" s="130" t="s">
        <v>759</v>
      </c>
      <c r="C271" s="130" t="s">
        <v>764</v>
      </c>
      <c r="D271" s="3">
        <v>2.72</v>
      </c>
      <c r="E271" s="3">
        <v>2.72</v>
      </c>
      <c r="F271" s="3">
        <v>64.47</v>
      </c>
      <c r="G271" s="3">
        <v>18.5</v>
      </c>
      <c r="H271" s="3">
        <v>34.29</v>
      </c>
      <c r="I271" s="3">
        <v>122.7</v>
      </c>
      <c r="J271" s="3">
        <v>0.06</v>
      </c>
    </row>
    <row r="272" spans="2:10" ht="15.75" thickBot="1" x14ac:dyDescent="0.3">
      <c r="B272" s="130" t="s">
        <v>759</v>
      </c>
      <c r="C272" s="130" t="s">
        <v>765</v>
      </c>
      <c r="D272" s="3">
        <v>6.12</v>
      </c>
      <c r="E272" s="3">
        <v>6.12</v>
      </c>
      <c r="F272" s="3">
        <v>26.54</v>
      </c>
      <c r="G272" s="3">
        <v>28.58</v>
      </c>
      <c r="H272" s="3">
        <v>36.74</v>
      </c>
      <c r="I272" s="3">
        <v>104.11</v>
      </c>
      <c r="J272" s="3">
        <v>0.05</v>
      </c>
    </row>
    <row r="273" spans="2:10" ht="15.75" hidden="1" thickBot="1" x14ac:dyDescent="0.3">
      <c r="B273" s="130" t="s">
        <v>766</v>
      </c>
      <c r="C273" s="130" t="s">
        <v>767</v>
      </c>
      <c r="D273" s="3">
        <v>10.16</v>
      </c>
      <c r="E273" s="3">
        <v>6.05</v>
      </c>
      <c r="F273" s="3">
        <v>93.62</v>
      </c>
      <c r="G273" s="3">
        <v>58.78</v>
      </c>
      <c r="H273" s="3">
        <v>63.45</v>
      </c>
      <c r="I273" s="3">
        <v>232.06</v>
      </c>
      <c r="J273" s="3">
        <v>0.13</v>
      </c>
    </row>
    <row r="274" spans="2:10" ht="15.75" hidden="1" thickBot="1" x14ac:dyDescent="0.3">
      <c r="B274" s="130" t="s">
        <v>766</v>
      </c>
      <c r="C274" s="130" t="s">
        <v>768</v>
      </c>
      <c r="D274" s="3">
        <v>0.09</v>
      </c>
      <c r="E274" s="3">
        <v>0.94</v>
      </c>
      <c r="F274" s="3">
        <v>0.73</v>
      </c>
      <c r="G274" s="3">
        <v>0.55000000000000004</v>
      </c>
      <c r="H274" s="3">
        <v>0.09</v>
      </c>
      <c r="I274" s="3">
        <v>2.39</v>
      </c>
      <c r="J274" s="3">
        <v>0</v>
      </c>
    </row>
    <row r="275" spans="2:10" ht="15.75" hidden="1" thickBot="1" x14ac:dyDescent="0.3">
      <c r="B275" s="130" t="s">
        <v>766</v>
      </c>
      <c r="C275" s="130" t="s">
        <v>769</v>
      </c>
      <c r="D275" s="3">
        <v>1.27</v>
      </c>
      <c r="E275" s="3">
        <v>6.03</v>
      </c>
      <c r="F275" s="3">
        <v>18.41</v>
      </c>
      <c r="G275" s="3">
        <v>9.3800000000000008</v>
      </c>
      <c r="H275" s="3">
        <v>18.329999999999998</v>
      </c>
      <c r="I275" s="3">
        <v>53.42</v>
      </c>
      <c r="J275" s="3">
        <v>0.03</v>
      </c>
    </row>
    <row r="276" spans="2:10" ht="15.75" hidden="1" thickBot="1" x14ac:dyDescent="0.3">
      <c r="B276" s="130" t="s">
        <v>770</v>
      </c>
      <c r="C276" s="130" t="s">
        <v>771</v>
      </c>
      <c r="D276" s="3">
        <v>3.33</v>
      </c>
      <c r="E276" s="3">
        <v>16.22</v>
      </c>
      <c r="F276" s="3">
        <v>109.23</v>
      </c>
      <c r="G276" s="3">
        <v>40.18</v>
      </c>
      <c r="H276" s="3">
        <v>16.600000000000001</v>
      </c>
      <c r="I276" s="3">
        <v>185.56</v>
      </c>
      <c r="J276" s="3">
        <v>0.1</v>
      </c>
    </row>
    <row r="277" spans="2:10" ht="15.75" hidden="1" thickBot="1" x14ac:dyDescent="0.3">
      <c r="B277" s="130" t="s">
        <v>770</v>
      </c>
      <c r="C277" s="130" t="s">
        <v>772</v>
      </c>
      <c r="D277" s="3">
        <v>0.22</v>
      </c>
      <c r="E277" s="3">
        <v>0.31</v>
      </c>
      <c r="F277" s="3">
        <v>9.43</v>
      </c>
      <c r="G277" s="3">
        <v>6.51</v>
      </c>
      <c r="H277" s="3">
        <v>4.17</v>
      </c>
      <c r="I277" s="3">
        <v>20.65</v>
      </c>
      <c r="J277" s="3">
        <v>0.01</v>
      </c>
    </row>
    <row r="278" spans="2:10" ht="15.75" thickBot="1" x14ac:dyDescent="0.3">
      <c r="B278" s="130" t="s">
        <v>770</v>
      </c>
      <c r="C278" s="130" t="s">
        <v>773</v>
      </c>
      <c r="D278" s="3" t="s">
        <v>139</v>
      </c>
      <c r="E278" s="3" t="s">
        <v>139</v>
      </c>
      <c r="F278" s="3">
        <v>4.1500000000000004</v>
      </c>
      <c r="G278" s="3">
        <v>4.1500000000000004</v>
      </c>
      <c r="H278" s="3">
        <v>14.66</v>
      </c>
      <c r="I278" s="3">
        <v>22.95</v>
      </c>
      <c r="J278" s="3">
        <v>0.01</v>
      </c>
    </row>
    <row r="279" spans="2:10" ht="15.75" thickBot="1" x14ac:dyDescent="0.3">
      <c r="B279" s="130" t="s">
        <v>770</v>
      </c>
      <c r="C279" s="130" t="s">
        <v>774</v>
      </c>
      <c r="D279" s="3">
        <v>0.23</v>
      </c>
      <c r="E279" s="3">
        <v>0.93</v>
      </c>
      <c r="F279" s="3">
        <v>9.06</v>
      </c>
      <c r="G279" s="3">
        <v>2.15</v>
      </c>
      <c r="H279" s="3">
        <v>1.48</v>
      </c>
      <c r="I279" s="3">
        <v>13.84</v>
      </c>
      <c r="J279" s="3">
        <v>0</v>
      </c>
    </row>
    <row r="280" spans="2:10" ht="15.75" thickBot="1" x14ac:dyDescent="0.3">
      <c r="B280" s="130" t="s">
        <v>770</v>
      </c>
      <c r="C280" s="130" t="s">
        <v>775</v>
      </c>
      <c r="D280" s="3" t="s">
        <v>139</v>
      </c>
      <c r="E280" s="3">
        <v>2.65</v>
      </c>
      <c r="F280" s="3">
        <v>70.14</v>
      </c>
      <c r="G280" s="3">
        <v>26</v>
      </c>
      <c r="H280" s="3">
        <v>38.47</v>
      </c>
      <c r="I280" s="3">
        <v>137.26</v>
      </c>
      <c r="J280" s="3">
        <v>7.0000000000000007E-2</v>
      </c>
    </row>
    <row r="281" spans="2:10" ht="15.75" thickBot="1" x14ac:dyDescent="0.3">
      <c r="B281" s="130" t="s">
        <v>770</v>
      </c>
      <c r="C281" s="130" t="s">
        <v>776</v>
      </c>
      <c r="D281" s="3" t="s">
        <v>139</v>
      </c>
      <c r="E281" s="3">
        <v>2.66</v>
      </c>
      <c r="F281" s="3">
        <v>55.84</v>
      </c>
      <c r="G281" s="3">
        <v>20.21</v>
      </c>
      <c r="H281" s="3">
        <v>17.97</v>
      </c>
      <c r="I281" s="3">
        <v>96.68</v>
      </c>
      <c r="J281" s="3">
        <v>0.05</v>
      </c>
    </row>
    <row r="282" spans="2:10" ht="15.75" thickBot="1" x14ac:dyDescent="0.3">
      <c r="B282" s="130" t="s">
        <v>770</v>
      </c>
      <c r="C282" s="130" t="s">
        <v>777</v>
      </c>
      <c r="D282" s="3">
        <v>5.38</v>
      </c>
      <c r="E282" s="3" t="s">
        <v>139</v>
      </c>
      <c r="F282" s="3">
        <v>3.23</v>
      </c>
      <c r="G282" s="3">
        <v>1.61</v>
      </c>
      <c r="H282" s="3">
        <v>2.15</v>
      </c>
      <c r="I282" s="3">
        <v>12.37</v>
      </c>
      <c r="J282" s="3">
        <v>0</v>
      </c>
    </row>
    <row r="283" spans="2:10" ht="15.75" hidden="1" thickBot="1" x14ac:dyDescent="0.3">
      <c r="B283" s="130" t="s">
        <v>778</v>
      </c>
      <c r="C283" s="130" t="s">
        <v>779</v>
      </c>
      <c r="D283" s="3" t="s">
        <v>139</v>
      </c>
      <c r="E283" s="3" t="s">
        <v>139</v>
      </c>
      <c r="F283" s="3">
        <v>3.57</v>
      </c>
      <c r="G283" s="3" t="s">
        <v>139</v>
      </c>
      <c r="H283" s="3" t="s">
        <v>139</v>
      </c>
      <c r="I283" s="3">
        <v>3.57</v>
      </c>
      <c r="J283" s="3">
        <v>0</v>
      </c>
    </row>
    <row r="284" spans="2:10" ht="15.75" hidden="1" thickBot="1" x14ac:dyDescent="0.3">
      <c r="B284" s="130" t="s">
        <v>778</v>
      </c>
      <c r="C284" s="130" t="s">
        <v>780</v>
      </c>
      <c r="D284" s="3">
        <v>1.84</v>
      </c>
      <c r="E284" s="3">
        <v>4.05</v>
      </c>
      <c r="F284" s="3">
        <v>21.17</v>
      </c>
      <c r="G284" s="3">
        <v>7.73</v>
      </c>
      <c r="H284" s="3">
        <v>9.98</v>
      </c>
      <c r="I284" s="3">
        <v>44.77</v>
      </c>
      <c r="J284" s="3">
        <v>0.02</v>
      </c>
    </row>
    <row r="285" spans="2:10" ht="15.75" hidden="1" thickBot="1" x14ac:dyDescent="0.3">
      <c r="B285" s="130" t="s">
        <v>778</v>
      </c>
      <c r="C285" s="130" t="s">
        <v>781</v>
      </c>
      <c r="D285" s="3" t="s">
        <v>139</v>
      </c>
      <c r="E285" s="3">
        <v>1.36</v>
      </c>
      <c r="F285" s="3">
        <v>4.79</v>
      </c>
      <c r="G285" s="3">
        <v>1.71</v>
      </c>
      <c r="H285" s="3">
        <v>4.09</v>
      </c>
      <c r="I285" s="3">
        <v>11.95</v>
      </c>
      <c r="J285" s="3">
        <v>0</v>
      </c>
    </row>
    <row r="286" spans="2:10" ht="15.75" thickBot="1" x14ac:dyDescent="0.3">
      <c r="B286" s="130" t="s">
        <v>778</v>
      </c>
      <c r="C286" s="130" t="s">
        <v>782</v>
      </c>
      <c r="D286" s="3" t="s">
        <v>139</v>
      </c>
      <c r="E286" s="3">
        <v>13.3</v>
      </c>
      <c r="F286" s="3">
        <v>32.31</v>
      </c>
      <c r="G286" s="3">
        <v>14.33</v>
      </c>
      <c r="H286" s="3" t="s">
        <v>139</v>
      </c>
      <c r="I286" s="3">
        <v>59.95</v>
      </c>
      <c r="J286" s="3">
        <v>0.03</v>
      </c>
    </row>
    <row r="287" spans="2:10" ht="15.75" hidden="1" thickBot="1" x14ac:dyDescent="0.3">
      <c r="B287" s="130" t="s">
        <v>783</v>
      </c>
      <c r="C287" s="130" t="s">
        <v>784</v>
      </c>
      <c r="D287" s="3" t="s">
        <v>139</v>
      </c>
      <c r="E287" s="3">
        <v>2.37</v>
      </c>
      <c r="F287" s="3">
        <v>7.75</v>
      </c>
      <c r="G287" s="3">
        <v>2.92</v>
      </c>
      <c r="H287" s="3">
        <v>1.71</v>
      </c>
      <c r="I287" s="3">
        <v>14.75</v>
      </c>
      <c r="J287" s="3">
        <v>0</v>
      </c>
    </row>
    <row r="288" spans="2:10" ht="15.75" hidden="1" thickBot="1" x14ac:dyDescent="0.3">
      <c r="B288" s="130" t="s">
        <v>783</v>
      </c>
      <c r="C288" s="130" t="s">
        <v>785</v>
      </c>
      <c r="D288" s="3" t="s">
        <v>139</v>
      </c>
      <c r="E288" s="3" t="s">
        <v>139</v>
      </c>
      <c r="F288" s="3" t="s">
        <v>139</v>
      </c>
      <c r="G288" s="3">
        <v>0.05</v>
      </c>
      <c r="H288" s="3">
        <v>0.05</v>
      </c>
      <c r="I288" s="3">
        <v>0.09</v>
      </c>
      <c r="J288" s="3">
        <v>0</v>
      </c>
    </row>
    <row r="289" spans="2:10" ht="15.75" hidden="1" thickBot="1" x14ac:dyDescent="0.3">
      <c r="B289" s="130" t="s">
        <v>783</v>
      </c>
      <c r="C289" s="130" t="s">
        <v>786</v>
      </c>
      <c r="D289" s="3">
        <v>0.2</v>
      </c>
      <c r="E289" s="3">
        <v>0.7</v>
      </c>
      <c r="F289" s="3">
        <v>0.52</v>
      </c>
      <c r="G289" s="3">
        <v>0.08</v>
      </c>
      <c r="H289" s="3">
        <v>0.2</v>
      </c>
      <c r="I289" s="3">
        <v>1.7</v>
      </c>
      <c r="J289" s="3">
        <v>0</v>
      </c>
    </row>
    <row r="290" spans="2:10" ht="15.75" hidden="1" thickBot="1" x14ac:dyDescent="0.3">
      <c r="B290" s="130" t="s">
        <v>783</v>
      </c>
      <c r="C290" s="130" t="s">
        <v>787</v>
      </c>
      <c r="D290" s="3" t="s">
        <v>139</v>
      </c>
      <c r="E290" s="3">
        <v>0.76</v>
      </c>
      <c r="F290" s="3">
        <v>0.45</v>
      </c>
      <c r="G290" s="3" t="s">
        <v>139</v>
      </c>
      <c r="H290" s="3">
        <v>0.31</v>
      </c>
      <c r="I290" s="3">
        <v>1.53</v>
      </c>
      <c r="J290" s="3">
        <v>0</v>
      </c>
    </row>
    <row r="291" spans="2:10" ht="15.75" hidden="1" thickBot="1" x14ac:dyDescent="0.3">
      <c r="B291" s="128" t="s">
        <v>788</v>
      </c>
      <c r="C291" s="130"/>
      <c r="D291" s="3">
        <v>59.34</v>
      </c>
      <c r="E291" s="3">
        <v>132.56</v>
      </c>
      <c r="F291" s="129">
        <v>1186.06</v>
      </c>
      <c r="G291" s="3">
        <v>598.13</v>
      </c>
      <c r="H291" s="3">
        <v>614.91999999999996</v>
      </c>
      <c r="I291" s="129">
        <v>2591</v>
      </c>
      <c r="J291" s="3">
        <v>1.46</v>
      </c>
    </row>
  </sheetData>
  <autoFilter ref="B2:J291">
    <filterColumn colId="1">
      <filters>
        <filter val="US151191AQ67"/>
        <filter val="US151191AT07"/>
        <filter val="US151191AZ66"/>
        <filter val="US29244TAA97"/>
        <filter val="USG49215AA73"/>
        <filter val="USP0607JAE84"/>
        <filter val="USP0607LAB91"/>
        <filter val="USP2205JAE03"/>
        <filter val="USP2205JAH34"/>
        <filter val="USP2205JAK62"/>
        <filter val="USP2205JAL46"/>
        <filter val="USP2867KAE66"/>
        <filter val="USP3143NAH72"/>
        <filter val="USP3143NAN41"/>
        <filter val="USP3143NAP98"/>
        <filter val="USP3143NAR54"/>
        <filter val="USP3143NAW40"/>
        <filter val="USP36020AB42"/>
        <filter val="USP3697UAD02"/>
        <filter val="USP37110AG12"/>
        <filter val="USP37110AJ50"/>
        <filter val="USP37110AK24"/>
        <filter val="USP37115AE50"/>
        <filter val="USP37115AF26"/>
        <filter val="USP37466AJ19"/>
        <filter val="USP58072AE24"/>
        <filter val="USP58072AG71"/>
        <filter val="USP58072AK83"/>
        <filter val="USP58073AA84"/>
        <filter val="USP6460HAA34"/>
        <filter val="USP82290AA81"/>
        <filter val="USP82290AB64"/>
        <filter val="USP82290AG51"/>
        <filter val="USP9339SAQ77"/>
        <filter val="USP9339SAS34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S37"/>
  <sheetViews>
    <sheetView zoomScale="55" zoomScaleNormal="55" workbookViewId="0">
      <selection activeCell="E52" sqref="E52"/>
    </sheetView>
  </sheetViews>
  <sheetFormatPr baseColWidth="10" defaultRowHeight="15" x14ac:dyDescent="0.25"/>
  <cols>
    <col min="1" max="1" width="66.140625" customWidth="1"/>
    <col min="2" max="2" width="12" bestFit="1" customWidth="1"/>
    <col min="10" max="10" width="3.5703125" customWidth="1"/>
    <col min="11" max="11" width="30.42578125" customWidth="1"/>
    <col min="12" max="12" width="59" customWidth="1"/>
  </cols>
  <sheetData>
    <row r="1" spans="1:19" ht="54.75" thickBot="1" x14ac:dyDescent="0.3">
      <c r="A1" s="131" t="s">
        <v>406</v>
      </c>
      <c r="B1" s="131" t="s">
        <v>407</v>
      </c>
      <c r="C1" s="131" t="s">
        <v>408</v>
      </c>
      <c r="D1" s="131" t="s">
        <v>409</v>
      </c>
      <c r="E1" s="131" t="s">
        <v>410</v>
      </c>
      <c r="F1" s="131" t="s">
        <v>411</v>
      </c>
      <c r="G1" s="131" t="s">
        <v>412</v>
      </c>
      <c r="H1" s="131" t="s">
        <v>137</v>
      </c>
      <c r="I1" s="131" t="s">
        <v>413</v>
      </c>
      <c r="K1" s="251" t="s">
        <v>789</v>
      </c>
      <c r="L1" s="252"/>
      <c r="M1" s="252"/>
      <c r="N1" s="252"/>
      <c r="O1" s="252"/>
      <c r="P1" s="252"/>
      <c r="Q1" s="252"/>
      <c r="R1" s="252"/>
      <c r="S1" s="253"/>
    </row>
    <row r="2" spans="1:19" ht="15.75" thickBot="1" x14ac:dyDescent="0.3">
      <c r="A2" s="130" t="s">
        <v>414</v>
      </c>
      <c r="B2" s="130" t="s">
        <v>416</v>
      </c>
      <c r="C2" s="3">
        <v>1.33</v>
      </c>
      <c r="D2" s="3">
        <v>1.33</v>
      </c>
      <c r="E2" s="3">
        <v>13.2</v>
      </c>
      <c r="F2" s="3">
        <v>6.67</v>
      </c>
      <c r="G2" s="3">
        <v>18.57</v>
      </c>
      <c r="H2" s="3">
        <v>41.1</v>
      </c>
      <c r="I2" s="3">
        <v>0.02</v>
      </c>
      <c r="K2" s="130" t="s">
        <v>790</v>
      </c>
      <c r="L2" s="130" t="s">
        <v>791</v>
      </c>
      <c r="M2" s="3">
        <v>0.85</v>
      </c>
      <c r="N2" s="3">
        <v>0.85</v>
      </c>
      <c r="O2" s="3">
        <v>2.67</v>
      </c>
      <c r="P2" s="3">
        <v>1.28</v>
      </c>
      <c r="Q2" s="3">
        <v>4.43</v>
      </c>
      <c r="R2" s="3">
        <v>10.09</v>
      </c>
      <c r="S2" s="3">
        <v>0.01</v>
      </c>
    </row>
    <row r="3" spans="1:19" ht="15.75" thickBot="1" x14ac:dyDescent="0.3">
      <c r="A3" s="130" t="s">
        <v>414</v>
      </c>
      <c r="B3" s="130" t="s">
        <v>417</v>
      </c>
      <c r="C3" s="3" t="s">
        <v>139</v>
      </c>
      <c r="D3" s="3" t="s">
        <v>139</v>
      </c>
      <c r="E3" s="3">
        <v>24.49</v>
      </c>
      <c r="F3" s="3">
        <v>9.7899999999999991</v>
      </c>
      <c r="G3" s="3">
        <v>14.69</v>
      </c>
      <c r="H3" s="3">
        <v>48.97</v>
      </c>
      <c r="I3" s="3">
        <v>0.02</v>
      </c>
      <c r="K3" s="130" t="s">
        <v>792</v>
      </c>
      <c r="L3" s="130" t="s">
        <v>793</v>
      </c>
      <c r="M3" s="3">
        <v>0.86</v>
      </c>
      <c r="N3" s="3">
        <v>0.86</v>
      </c>
      <c r="O3" s="3">
        <v>2.81</v>
      </c>
      <c r="P3" s="3">
        <v>1.57</v>
      </c>
      <c r="Q3" s="3">
        <v>2.93</v>
      </c>
      <c r="R3" s="3">
        <v>9.02</v>
      </c>
      <c r="S3" s="3">
        <v>0.01</v>
      </c>
    </row>
    <row r="4" spans="1:19" ht="15.75" thickBot="1" x14ac:dyDescent="0.3">
      <c r="A4" s="130" t="s">
        <v>422</v>
      </c>
      <c r="B4" s="130" t="s">
        <v>426</v>
      </c>
      <c r="C4" s="3">
        <v>4.2300000000000004</v>
      </c>
      <c r="D4" s="3" t="s">
        <v>139</v>
      </c>
      <c r="E4" s="3">
        <v>35.67</v>
      </c>
      <c r="F4" s="3">
        <v>14.71</v>
      </c>
      <c r="G4" s="3">
        <v>18.53</v>
      </c>
      <c r="H4" s="3">
        <v>73.150000000000006</v>
      </c>
      <c r="I4" s="3">
        <v>0.04</v>
      </c>
      <c r="K4" s="130" t="s">
        <v>794</v>
      </c>
      <c r="L4" s="130" t="s">
        <v>795</v>
      </c>
      <c r="M4" s="3">
        <v>2.96</v>
      </c>
      <c r="N4" s="3">
        <v>7.9</v>
      </c>
      <c r="O4" s="3">
        <v>24.68</v>
      </c>
      <c r="P4" s="3">
        <v>10.86</v>
      </c>
      <c r="Q4" s="3">
        <v>2.96</v>
      </c>
      <c r="R4" s="3">
        <v>49.35</v>
      </c>
      <c r="S4" s="3">
        <v>0.03</v>
      </c>
    </row>
    <row r="5" spans="1:19" ht="15.75" thickBot="1" x14ac:dyDescent="0.3">
      <c r="A5" s="130" t="s">
        <v>429</v>
      </c>
      <c r="B5" s="130" t="s">
        <v>432</v>
      </c>
      <c r="C5" s="3" t="s">
        <v>139</v>
      </c>
      <c r="D5" s="3" t="s">
        <v>139</v>
      </c>
      <c r="E5" s="3" t="s">
        <v>139</v>
      </c>
      <c r="F5" s="3" t="s">
        <v>139</v>
      </c>
      <c r="G5" s="3">
        <v>1.23</v>
      </c>
      <c r="H5" s="3">
        <v>1.23</v>
      </c>
      <c r="I5" s="3">
        <v>0</v>
      </c>
      <c r="K5" s="130" t="s">
        <v>796</v>
      </c>
      <c r="L5" s="130" t="s">
        <v>795</v>
      </c>
      <c r="M5" s="3" t="s">
        <v>139</v>
      </c>
      <c r="N5" s="3">
        <v>5.1100000000000003</v>
      </c>
      <c r="O5" s="3">
        <v>8.83</v>
      </c>
      <c r="P5" s="3">
        <v>8.27</v>
      </c>
      <c r="Q5" s="3">
        <v>3.6</v>
      </c>
      <c r="R5" s="3">
        <v>25.81</v>
      </c>
      <c r="S5" s="3">
        <v>0.01</v>
      </c>
    </row>
    <row r="6" spans="1:19" ht="15.75" thickBot="1" x14ac:dyDescent="0.3">
      <c r="A6" s="130" t="s">
        <v>435</v>
      </c>
      <c r="B6" s="130" t="s">
        <v>436</v>
      </c>
      <c r="C6" s="3" t="s">
        <v>139</v>
      </c>
      <c r="D6" s="3" t="s">
        <v>139</v>
      </c>
      <c r="E6" s="3">
        <v>1.81</v>
      </c>
      <c r="F6" s="3">
        <v>1.6</v>
      </c>
      <c r="G6" s="3">
        <v>4.9000000000000004</v>
      </c>
      <c r="H6" s="3">
        <v>8.31</v>
      </c>
      <c r="I6" s="3">
        <v>0</v>
      </c>
      <c r="K6" s="130" t="s">
        <v>797</v>
      </c>
      <c r="L6" s="130" t="s">
        <v>798</v>
      </c>
      <c r="M6" s="3">
        <v>1.55</v>
      </c>
      <c r="N6" s="3">
        <v>1.04</v>
      </c>
      <c r="O6" s="3">
        <v>0.25</v>
      </c>
      <c r="P6" s="3">
        <v>0.2</v>
      </c>
      <c r="Q6" s="3">
        <v>0.39</v>
      </c>
      <c r="R6" s="3">
        <v>3.43</v>
      </c>
      <c r="S6" s="3">
        <v>0</v>
      </c>
    </row>
    <row r="7" spans="1:19" ht="15.75" thickBot="1" x14ac:dyDescent="0.3">
      <c r="A7" s="130" t="s">
        <v>448</v>
      </c>
      <c r="B7" s="130" t="s">
        <v>455</v>
      </c>
      <c r="C7" s="3" t="s">
        <v>139</v>
      </c>
      <c r="D7" s="3" t="s">
        <v>139</v>
      </c>
      <c r="E7" s="3">
        <v>0.32</v>
      </c>
      <c r="F7" s="3">
        <v>0.32</v>
      </c>
      <c r="G7" s="3">
        <v>0.43</v>
      </c>
      <c r="H7" s="3">
        <v>1.08</v>
      </c>
      <c r="I7" s="3">
        <v>0</v>
      </c>
      <c r="K7" s="130" t="s">
        <v>799</v>
      </c>
      <c r="L7" s="130" t="s">
        <v>800</v>
      </c>
      <c r="M7" s="3">
        <v>4.51</v>
      </c>
      <c r="N7" s="3">
        <v>2.87</v>
      </c>
      <c r="O7" s="3">
        <v>4.87</v>
      </c>
      <c r="P7" s="3">
        <v>0.24</v>
      </c>
      <c r="Q7" s="3">
        <v>0.1</v>
      </c>
      <c r="R7" s="3">
        <v>12.6</v>
      </c>
      <c r="S7" s="3">
        <v>0.01</v>
      </c>
    </row>
    <row r="8" spans="1:19" ht="15.75" thickBot="1" x14ac:dyDescent="0.3">
      <c r="A8" s="130" t="s">
        <v>448</v>
      </c>
      <c r="B8" s="130" t="s">
        <v>456</v>
      </c>
      <c r="C8" s="3">
        <v>2.06</v>
      </c>
      <c r="D8" s="3" t="s">
        <v>139</v>
      </c>
      <c r="E8" s="3">
        <v>14.96</v>
      </c>
      <c r="F8" s="3">
        <v>10.84</v>
      </c>
      <c r="G8" s="3">
        <v>13.42</v>
      </c>
      <c r="H8" s="3">
        <v>41.28</v>
      </c>
      <c r="I8" s="3">
        <v>0.02</v>
      </c>
      <c r="K8" s="130" t="s">
        <v>801</v>
      </c>
      <c r="L8" s="130" t="s">
        <v>802</v>
      </c>
      <c r="M8" s="3">
        <v>0.97</v>
      </c>
      <c r="N8" s="3">
        <v>0.5</v>
      </c>
      <c r="O8" s="3">
        <v>0.91</v>
      </c>
      <c r="P8" s="3">
        <v>0.15</v>
      </c>
      <c r="Q8" s="3">
        <v>0.06</v>
      </c>
      <c r="R8" s="3">
        <v>2.59</v>
      </c>
      <c r="S8" s="3">
        <v>0</v>
      </c>
    </row>
    <row r="9" spans="1:19" ht="15.75" thickBot="1" x14ac:dyDescent="0.3">
      <c r="A9" s="130" t="s">
        <v>462</v>
      </c>
      <c r="B9" s="130" t="s">
        <v>464</v>
      </c>
      <c r="C9" s="3" t="s">
        <v>139</v>
      </c>
      <c r="D9" s="3">
        <v>3.15</v>
      </c>
      <c r="E9" s="3">
        <v>18.41</v>
      </c>
      <c r="F9" s="3">
        <v>15.73</v>
      </c>
      <c r="G9" s="3">
        <v>17.579999999999998</v>
      </c>
      <c r="H9" s="3">
        <v>54.87</v>
      </c>
      <c r="I9" s="3">
        <v>0.03</v>
      </c>
      <c r="K9" s="130" t="s">
        <v>803</v>
      </c>
      <c r="L9" s="130" t="s">
        <v>804</v>
      </c>
      <c r="M9" s="3">
        <v>0.12</v>
      </c>
      <c r="N9" s="3">
        <v>0.13</v>
      </c>
      <c r="O9" s="3">
        <v>9.23</v>
      </c>
      <c r="P9" s="3">
        <v>4.1500000000000004</v>
      </c>
      <c r="Q9" s="3">
        <v>0.19</v>
      </c>
      <c r="R9" s="3">
        <v>13.83</v>
      </c>
      <c r="S9" s="3">
        <v>0.01</v>
      </c>
    </row>
    <row r="10" spans="1:19" ht="15.75" thickBot="1" x14ac:dyDescent="0.3">
      <c r="A10" s="130" t="s">
        <v>462</v>
      </c>
      <c r="B10" s="130" t="s">
        <v>465</v>
      </c>
      <c r="C10" s="3" t="s">
        <v>139</v>
      </c>
      <c r="D10" s="3">
        <v>3.83</v>
      </c>
      <c r="E10" s="3">
        <v>17.37</v>
      </c>
      <c r="F10" s="3">
        <v>11.39</v>
      </c>
      <c r="G10" s="3">
        <v>10.73</v>
      </c>
      <c r="H10" s="3">
        <v>43.31</v>
      </c>
      <c r="I10" s="3">
        <v>0.02</v>
      </c>
      <c r="K10" s="130" t="s">
        <v>805</v>
      </c>
      <c r="L10" s="130" t="s">
        <v>806</v>
      </c>
      <c r="M10" s="3">
        <v>1.74</v>
      </c>
      <c r="N10" s="3">
        <v>1.1599999999999999</v>
      </c>
      <c r="O10" s="3">
        <v>2.71</v>
      </c>
      <c r="P10" s="3">
        <v>1.39</v>
      </c>
      <c r="Q10" s="3" t="s">
        <v>139</v>
      </c>
      <c r="R10" s="3">
        <v>7.01</v>
      </c>
      <c r="S10" s="3">
        <v>0</v>
      </c>
    </row>
    <row r="11" spans="1:19" ht="15.75" thickBot="1" x14ac:dyDescent="0.3">
      <c r="A11" s="130" t="s">
        <v>510</v>
      </c>
      <c r="B11" s="130" t="s">
        <v>516</v>
      </c>
      <c r="C11" s="3" t="s">
        <v>139</v>
      </c>
      <c r="D11" s="3">
        <v>0.55000000000000004</v>
      </c>
      <c r="E11" s="3">
        <v>0.68</v>
      </c>
      <c r="F11" s="3">
        <v>0.28000000000000003</v>
      </c>
      <c r="G11" s="3">
        <v>0.28000000000000003</v>
      </c>
      <c r="H11" s="3">
        <v>1.78</v>
      </c>
      <c r="I11" s="3">
        <v>0</v>
      </c>
      <c r="K11" s="130" t="s">
        <v>807</v>
      </c>
      <c r="L11" s="130" t="s">
        <v>808</v>
      </c>
      <c r="M11" s="3" t="s">
        <v>139</v>
      </c>
      <c r="N11" s="3" t="s">
        <v>139</v>
      </c>
      <c r="O11" s="3">
        <v>2.04</v>
      </c>
      <c r="P11" s="3">
        <v>2.04</v>
      </c>
      <c r="Q11" s="3">
        <v>2.0499999999999998</v>
      </c>
      <c r="R11" s="3">
        <v>6.13</v>
      </c>
      <c r="S11" s="3">
        <v>0</v>
      </c>
    </row>
    <row r="12" spans="1:19" ht="15.75" thickBot="1" x14ac:dyDescent="0.3">
      <c r="A12" s="130" t="s">
        <v>510</v>
      </c>
      <c r="B12" s="130" t="s">
        <v>517</v>
      </c>
      <c r="C12" s="3" t="s">
        <v>139</v>
      </c>
      <c r="D12" s="3">
        <v>11.2</v>
      </c>
      <c r="E12" s="3">
        <v>97.58</v>
      </c>
      <c r="F12" s="3">
        <v>41.43</v>
      </c>
      <c r="G12" s="3">
        <v>45.28</v>
      </c>
      <c r="H12" s="3">
        <v>195.49</v>
      </c>
      <c r="I12" s="3">
        <v>0.11</v>
      </c>
      <c r="K12" s="130" t="s">
        <v>809</v>
      </c>
      <c r="L12" s="130" t="s">
        <v>810</v>
      </c>
      <c r="M12" s="3">
        <v>2.17</v>
      </c>
      <c r="N12" s="3">
        <v>1.17</v>
      </c>
      <c r="O12" s="3">
        <v>3.74</v>
      </c>
      <c r="P12" s="3">
        <v>0.15</v>
      </c>
      <c r="Q12" s="3">
        <v>0.88</v>
      </c>
      <c r="R12" s="3">
        <v>8.1199999999999992</v>
      </c>
      <c r="S12" s="3">
        <v>0</v>
      </c>
    </row>
    <row r="13" spans="1:19" ht="15.75" thickBot="1" x14ac:dyDescent="0.3">
      <c r="A13" s="130" t="s">
        <v>510</v>
      </c>
      <c r="B13" s="130" t="s">
        <v>518</v>
      </c>
      <c r="C13" s="3" t="s">
        <v>139</v>
      </c>
      <c r="D13" s="3">
        <v>4.43</v>
      </c>
      <c r="E13" s="3">
        <v>30.37</v>
      </c>
      <c r="F13" s="3">
        <v>17.64</v>
      </c>
      <c r="G13" s="3">
        <v>15</v>
      </c>
      <c r="H13" s="3">
        <v>67.430000000000007</v>
      </c>
      <c r="I13" s="3">
        <v>0.03</v>
      </c>
      <c r="K13" s="130" t="s">
        <v>811</v>
      </c>
      <c r="L13" s="130" t="s">
        <v>812</v>
      </c>
      <c r="M13" s="3">
        <v>2.48</v>
      </c>
      <c r="N13" s="3">
        <v>2.57</v>
      </c>
      <c r="O13" s="3">
        <v>8.7200000000000006</v>
      </c>
      <c r="P13" s="3">
        <v>4.09</v>
      </c>
      <c r="Q13" s="3">
        <v>8.83</v>
      </c>
      <c r="R13" s="3">
        <v>26.69</v>
      </c>
      <c r="S13" s="3">
        <v>0.02</v>
      </c>
    </row>
    <row r="14" spans="1:19" ht="15.75" thickBot="1" x14ac:dyDescent="0.3">
      <c r="A14" s="130" t="s">
        <v>510</v>
      </c>
      <c r="B14" s="130" t="s">
        <v>519</v>
      </c>
      <c r="C14" s="3" t="s">
        <v>139</v>
      </c>
      <c r="D14" s="3" t="s">
        <v>139</v>
      </c>
      <c r="E14" s="3">
        <v>17.73</v>
      </c>
      <c r="F14" s="3">
        <v>8.06</v>
      </c>
      <c r="G14" s="3">
        <v>10.53</v>
      </c>
      <c r="H14" s="3">
        <v>36.32</v>
      </c>
      <c r="I14" s="3">
        <v>0.02</v>
      </c>
      <c r="K14" s="130" t="s">
        <v>813</v>
      </c>
      <c r="L14" s="130" t="s">
        <v>814</v>
      </c>
      <c r="M14" s="3">
        <v>1.65</v>
      </c>
      <c r="N14" s="3">
        <v>2.75</v>
      </c>
      <c r="O14" s="3">
        <v>9.89</v>
      </c>
      <c r="P14" s="3">
        <v>3.85</v>
      </c>
      <c r="Q14" s="3">
        <v>7.93</v>
      </c>
      <c r="R14" s="3">
        <v>26.06</v>
      </c>
      <c r="S14" s="3">
        <v>0.01</v>
      </c>
    </row>
    <row r="15" spans="1:19" ht="15.75" thickBot="1" x14ac:dyDescent="0.3">
      <c r="A15" s="130" t="s">
        <v>543</v>
      </c>
      <c r="B15" s="130" t="s">
        <v>557</v>
      </c>
      <c r="C15" s="3">
        <v>3.35</v>
      </c>
      <c r="D15" s="3">
        <v>0.6</v>
      </c>
      <c r="E15" s="3">
        <v>16.84</v>
      </c>
      <c r="F15" s="3">
        <v>11.84</v>
      </c>
      <c r="G15" s="3">
        <v>11.1</v>
      </c>
      <c r="H15" s="3">
        <v>43.73</v>
      </c>
      <c r="I15" s="3">
        <v>0.02</v>
      </c>
      <c r="K15" s="130" t="s">
        <v>815</v>
      </c>
      <c r="L15" s="130" t="s">
        <v>816</v>
      </c>
      <c r="M15" s="3">
        <v>0.77</v>
      </c>
      <c r="N15" s="3">
        <v>0.77</v>
      </c>
      <c r="O15" s="3">
        <v>1.94</v>
      </c>
      <c r="P15" s="3">
        <v>0.9</v>
      </c>
      <c r="Q15" s="3">
        <v>4.95</v>
      </c>
      <c r="R15" s="3">
        <v>9.34</v>
      </c>
      <c r="S15" s="3">
        <v>0.01</v>
      </c>
    </row>
    <row r="16" spans="1:19" ht="15.75" thickBot="1" x14ac:dyDescent="0.3">
      <c r="A16" s="130" t="s">
        <v>625</v>
      </c>
      <c r="B16" s="130" t="s">
        <v>630</v>
      </c>
      <c r="C16" s="3" t="s">
        <v>139</v>
      </c>
      <c r="D16" s="3">
        <v>4.74</v>
      </c>
      <c r="E16" s="3">
        <v>10.64</v>
      </c>
      <c r="F16" s="3">
        <v>10.52</v>
      </c>
      <c r="G16" s="3">
        <v>30.52</v>
      </c>
      <c r="H16" s="3">
        <v>56.41</v>
      </c>
      <c r="I16" s="3">
        <v>0.03</v>
      </c>
      <c r="K16" s="130" t="s">
        <v>817</v>
      </c>
      <c r="L16" s="130" t="s">
        <v>816</v>
      </c>
      <c r="M16" s="3">
        <v>1.36</v>
      </c>
      <c r="N16" s="3">
        <v>1.36</v>
      </c>
      <c r="O16" s="3">
        <v>4.34</v>
      </c>
      <c r="P16" s="3">
        <v>2.06</v>
      </c>
      <c r="Q16" s="3">
        <v>3.91</v>
      </c>
      <c r="R16" s="3">
        <v>13.03</v>
      </c>
      <c r="S16" s="3">
        <v>0.01</v>
      </c>
    </row>
    <row r="17" spans="1:19" ht="15.75" thickBot="1" x14ac:dyDescent="0.3">
      <c r="A17" s="130" t="s">
        <v>625</v>
      </c>
      <c r="B17" s="130" t="s">
        <v>631</v>
      </c>
      <c r="C17" s="3" t="s">
        <v>139</v>
      </c>
      <c r="D17" s="3" t="s">
        <v>139</v>
      </c>
      <c r="E17" s="3" t="s">
        <v>139</v>
      </c>
      <c r="F17" s="3">
        <v>3.7</v>
      </c>
      <c r="G17" s="3">
        <v>1.68</v>
      </c>
      <c r="H17" s="3">
        <v>5.38</v>
      </c>
      <c r="I17" s="3">
        <v>0</v>
      </c>
      <c r="K17" s="130" t="s">
        <v>818</v>
      </c>
      <c r="L17" s="130" t="s">
        <v>819</v>
      </c>
      <c r="M17" s="3">
        <v>3.91</v>
      </c>
      <c r="N17" s="3">
        <v>5.63</v>
      </c>
      <c r="O17" s="3">
        <v>16.23</v>
      </c>
      <c r="P17" s="3">
        <v>2.5</v>
      </c>
      <c r="Q17" s="3" t="s">
        <v>139</v>
      </c>
      <c r="R17" s="3">
        <v>28.28</v>
      </c>
      <c r="S17" s="3">
        <v>0.02</v>
      </c>
    </row>
    <row r="18" spans="1:19" ht="15.75" thickBot="1" x14ac:dyDescent="0.3">
      <c r="A18" s="130" t="s">
        <v>625</v>
      </c>
      <c r="B18" s="130" t="s">
        <v>632</v>
      </c>
      <c r="C18" s="3" t="s">
        <v>139</v>
      </c>
      <c r="D18" s="3" t="s">
        <v>139</v>
      </c>
      <c r="E18" s="3" t="s">
        <v>139</v>
      </c>
      <c r="F18" s="3">
        <v>2.15</v>
      </c>
      <c r="G18" s="3">
        <v>6.45</v>
      </c>
      <c r="H18" s="3">
        <v>8.61</v>
      </c>
      <c r="I18" s="3">
        <v>0</v>
      </c>
      <c r="K18" s="130" t="s">
        <v>820</v>
      </c>
      <c r="L18" s="130" t="s">
        <v>821</v>
      </c>
      <c r="M18" s="3" t="s">
        <v>139</v>
      </c>
      <c r="N18" s="3" t="s">
        <v>139</v>
      </c>
      <c r="O18" s="3">
        <v>9.91</v>
      </c>
      <c r="P18" s="3">
        <v>9.91</v>
      </c>
      <c r="Q18" s="3">
        <v>1.98</v>
      </c>
      <c r="R18" s="3">
        <v>21.79</v>
      </c>
      <c r="S18" s="3">
        <v>0.01</v>
      </c>
    </row>
    <row r="19" spans="1:19" ht="15.75" thickBot="1" x14ac:dyDescent="0.3">
      <c r="A19" s="130" t="s">
        <v>700</v>
      </c>
      <c r="B19" s="130" t="s">
        <v>705</v>
      </c>
      <c r="C19" s="3" t="s">
        <v>139</v>
      </c>
      <c r="D19" s="3" t="s">
        <v>139</v>
      </c>
      <c r="E19" s="3">
        <v>5.17</v>
      </c>
      <c r="F19" s="3">
        <v>1.72</v>
      </c>
      <c r="G19" s="3" t="s">
        <v>139</v>
      </c>
      <c r="H19" s="3">
        <v>6.9</v>
      </c>
      <c r="I19" s="3">
        <v>0</v>
      </c>
      <c r="K19" s="130" t="s">
        <v>822</v>
      </c>
      <c r="L19" s="130" t="s">
        <v>821</v>
      </c>
      <c r="M19" s="3">
        <v>4.91</v>
      </c>
      <c r="N19" s="3">
        <v>5.37</v>
      </c>
      <c r="O19" s="3">
        <v>17.36</v>
      </c>
      <c r="P19" s="3">
        <v>9.36</v>
      </c>
      <c r="Q19" s="3">
        <v>16.670000000000002</v>
      </c>
      <c r="R19" s="3">
        <v>53.67</v>
      </c>
      <c r="S19" s="3">
        <v>0.03</v>
      </c>
    </row>
    <row r="20" spans="1:19" ht="15.75" thickBot="1" x14ac:dyDescent="0.3">
      <c r="A20" s="130" t="s">
        <v>700</v>
      </c>
      <c r="B20" s="130" t="s">
        <v>706</v>
      </c>
      <c r="C20" s="3" t="s">
        <v>139</v>
      </c>
      <c r="D20" s="3">
        <v>3.8</v>
      </c>
      <c r="E20" s="3">
        <v>2.17</v>
      </c>
      <c r="F20" s="3">
        <v>1.0900000000000001</v>
      </c>
      <c r="G20" s="3">
        <v>5.98</v>
      </c>
      <c r="H20" s="3">
        <v>13.04</v>
      </c>
      <c r="I20" s="3">
        <v>0</v>
      </c>
      <c r="K20" s="130" t="s">
        <v>823</v>
      </c>
      <c r="L20" s="130" t="s">
        <v>821</v>
      </c>
      <c r="M20" s="3" t="s">
        <v>139</v>
      </c>
      <c r="N20" s="3" t="s">
        <v>139</v>
      </c>
      <c r="O20" s="3">
        <v>5.04</v>
      </c>
      <c r="P20" s="3">
        <v>5.04</v>
      </c>
      <c r="Q20" s="3" t="s">
        <v>139</v>
      </c>
      <c r="R20" s="3">
        <v>10.08</v>
      </c>
      <c r="S20" s="3">
        <v>0.01</v>
      </c>
    </row>
    <row r="21" spans="1:19" ht="15.75" thickBot="1" x14ac:dyDescent="0.3">
      <c r="A21" s="130" t="s">
        <v>700</v>
      </c>
      <c r="B21" s="130" t="s">
        <v>707</v>
      </c>
      <c r="C21" s="3" t="s">
        <v>139</v>
      </c>
      <c r="D21" s="3" t="s">
        <v>139</v>
      </c>
      <c r="E21" s="3">
        <v>13.27</v>
      </c>
      <c r="F21" s="3">
        <v>7.83</v>
      </c>
      <c r="G21" s="3">
        <v>12.47</v>
      </c>
      <c r="H21" s="3">
        <v>33.57</v>
      </c>
      <c r="I21" s="3">
        <v>0.01</v>
      </c>
      <c r="K21" s="130" t="s">
        <v>824</v>
      </c>
      <c r="L21" s="130" t="s">
        <v>825</v>
      </c>
      <c r="M21" s="3">
        <v>1.06</v>
      </c>
      <c r="N21" s="3">
        <v>1.06</v>
      </c>
      <c r="O21" s="3">
        <v>3.71</v>
      </c>
      <c r="P21" s="3">
        <v>2.33</v>
      </c>
      <c r="Q21" s="3">
        <v>3.07</v>
      </c>
      <c r="R21" s="3">
        <v>11.22</v>
      </c>
      <c r="S21" s="3">
        <v>0.01</v>
      </c>
    </row>
    <row r="22" spans="1:19" ht="15.75" thickBot="1" x14ac:dyDescent="0.3">
      <c r="A22" s="130" t="s">
        <v>715</v>
      </c>
      <c r="B22" s="130" t="s">
        <v>721</v>
      </c>
      <c r="C22" s="3">
        <v>0.28000000000000003</v>
      </c>
      <c r="D22" s="3">
        <v>0.28000000000000003</v>
      </c>
      <c r="E22" s="3">
        <v>1.1399999999999999</v>
      </c>
      <c r="F22" s="3">
        <v>2.84</v>
      </c>
      <c r="G22" s="3">
        <v>1.87</v>
      </c>
      <c r="H22" s="3">
        <v>6.41</v>
      </c>
      <c r="I22" s="3">
        <v>0</v>
      </c>
      <c r="K22" s="130" t="s">
        <v>826</v>
      </c>
      <c r="L22" s="130" t="s">
        <v>827</v>
      </c>
      <c r="M22" s="3">
        <v>2.87</v>
      </c>
      <c r="N22" s="3">
        <v>3.49</v>
      </c>
      <c r="O22" s="3">
        <v>10.87</v>
      </c>
      <c r="P22" s="3">
        <v>5.13</v>
      </c>
      <c r="Q22" s="3">
        <v>11.18</v>
      </c>
      <c r="R22" s="3">
        <v>33.53</v>
      </c>
      <c r="S22" s="3">
        <v>0.02</v>
      </c>
    </row>
    <row r="23" spans="1:19" ht="15.75" thickBot="1" x14ac:dyDescent="0.3">
      <c r="A23" s="130" t="s">
        <v>751</v>
      </c>
      <c r="B23" s="130" t="s">
        <v>754</v>
      </c>
      <c r="C23" s="3" t="s">
        <v>139</v>
      </c>
      <c r="D23" s="3" t="s">
        <v>139</v>
      </c>
      <c r="E23" s="3">
        <v>0.85</v>
      </c>
      <c r="F23" s="3" t="s">
        <v>139</v>
      </c>
      <c r="G23" s="3" t="s">
        <v>139</v>
      </c>
      <c r="H23" s="3">
        <v>0.85</v>
      </c>
      <c r="I23" s="3">
        <v>0</v>
      </c>
      <c r="K23" s="130" t="s">
        <v>828</v>
      </c>
      <c r="L23" s="130" t="s">
        <v>829</v>
      </c>
      <c r="M23" s="3" t="s">
        <v>139</v>
      </c>
      <c r="N23" s="3" t="s">
        <v>139</v>
      </c>
      <c r="O23" s="3">
        <v>0.52</v>
      </c>
      <c r="P23" s="3" t="s">
        <v>139</v>
      </c>
      <c r="Q23" s="3" t="s">
        <v>139</v>
      </c>
      <c r="R23" s="3">
        <v>0.52</v>
      </c>
      <c r="S23" s="3">
        <v>0</v>
      </c>
    </row>
    <row r="24" spans="1:19" ht="15.75" thickBot="1" x14ac:dyDescent="0.3">
      <c r="A24" s="130" t="s">
        <v>751</v>
      </c>
      <c r="B24" s="130" t="s">
        <v>755</v>
      </c>
      <c r="C24" s="3" t="s">
        <v>139</v>
      </c>
      <c r="D24" s="3" t="s">
        <v>139</v>
      </c>
      <c r="E24" s="3">
        <v>68.010000000000005</v>
      </c>
      <c r="F24" s="3">
        <v>13.67</v>
      </c>
      <c r="G24" s="3">
        <v>26.09</v>
      </c>
      <c r="H24" s="3">
        <v>107.76</v>
      </c>
      <c r="I24" s="3">
        <v>0.06</v>
      </c>
    </row>
    <row r="25" spans="1:19" ht="15.75" thickBot="1" x14ac:dyDescent="0.3">
      <c r="A25" s="130" t="s">
        <v>751</v>
      </c>
      <c r="B25" s="130" t="s">
        <v>756</v>
      </c>
      <c r="C25" s="3" t="s">
        <v>139</v>
      </c>
      <c r="D25" s="3" t="s">
        <v>139</v>
      </c>
      <c r="E25" s="3">
        <v>77.790000000000006</v>
      </c>
      <c r="F25" s="3">
        <v>64.650000000000006</v>
      </c>
      <c r="G25" s="3">
        <v>36.979999999999997</v>
      </c>
      <c r="H25" s="3">
        <v>179.42</v>
      </c>
      <c r="I25" s="3">
        <v>0.1</v>
      </c>
    </row>
    <row r="26" spans="1:19" ht="15.75" thickBot="1" x14ac:dyDescent="0.3">
      <c r="A26" s="130" t="s">
        <v>751</v>
      </c>
      <c r="B26" s="130" t="s">
        <v>757</v>
      </c>
      <c r="C26" s="3">
        <v>2.15</v>
      </c>
      <c r="D26" s="3" t="s">
        <v>139</v>
      </c>
      <c r="E26" s="3">
        <v>23.04</v>
      </c>
      <c r="F26" s="3">
        <v>4.95</v>
      </c>
      <c r="G26" s="3">
        <v>3.23</v>
      </c>
      <c r="H26" s="3">
        <v>33.369999999999997</v>
      </c>
      <c r="I26" s="3">
        <v>0.01</v>
      </c>
    </row>
    <row r="27" spans="1:19" ht="15.75" thickBot="1" x14ac:dyDescent="0.3">
      <c r="A27" s="130" t="s">
        <v>751</v>
      </c>
      <c r="B27" s="130" t="s">
        <v>758</v>
      </c>
      <c r="C27" s="3" t="s">
        <v>139</v>
      </c>
      <c r="D27" s="3" t="s">
        <v>139</v>
      </c>
      <c r="E27" s="3">
        <v>84.56</v>
      </c>
      <c r="F27" s="3">
        <v>30.66</v>
      </c>
      <c r="G27" s="3">
        <v>38.869999999999997</v>
      </c>
      <c r="H27" s="3">
        <v>154.09</v>
      </c>
      <c r="I27" s="3">
        <v>0.08</v>
      </c>
    </row>
    <row r="28" spans="1:19" ht="15.75" thickBot="1" x14ac:dyDescent="0.3">
      <c r="A28" s="130" t="s">
        <v>759</v>
      </c>
      <c r="B28" s="130" t="s">
        <v>763</v>
      </c>
      <c r="C28" s="3">
        <v>0.27</v>
      </c>
      <c r="D28" s="3">
        <v>0.27</v>
      </c>
      <c r="E28" s="3">
        <v>8.7100000000000009</v>
      </c>
      <c r="F28" s="3">
        <v>5.99</v>
      </c>
      <c r="G28" s="3">
        <v>11.65</v>
      </c>
      <c r="H28" s="3">
        <v>26.89</v>
      </c>
      <c r="I28" s="3">
        <v>0.01</v>
      </c>
    </row>
    <row r="29" spans="1:19" ht="15.75" thickBot="1" x14ac:dyDescent="0.3">
      <c r="A29" s="130" t="s">
        <v>759</v>
      </c>
      <c r="B29" s="130" t="s">
        <v>764</v>
      </c>
      <c r="C29" s="3">
        <v>2.72</v>
      </c>
      <c r="D29" s="3">
        <v>2.72</v>
      </c>
      <c r="E29" s="3">
        <v>64.47</v>
      </c>
      <c r="F29" s="3">
        <v>18.5</v>
      </c>
      <c r="G29" s="3">
        <v>34.29</v>
      </c>
      <c r="H29" s="3">
        <v>122.7</v>
      </c>
      <c r="I29" s="3">
        <v>0.06</v>
      </c>
    </row>
    <row r="30" spans="1:19" ht="15.75" thickBot="1" x14ac:dyDescent="0.3">
      <c r="A30" s="130" t="s">
        <v>759</v>
      </c>
      <c r="B30" s="130" t="s">
        <v>765</v>
      </c>
      <c r="C30" s="3">
        <v>6.12</v>
      </c>
      <c r="D30" s="3">
        <v>6.12</v>
      </c>
      <c r="E30" s="3">
        <v>26.54</v>
      </c>
      <c r="F30" s="3">
        <v>28.58</v>
      </c>
      <c r="G30" s="3">
        <v>36.74</v>
      </c>
      <c r="H30" s="3">
        <v>104.11</v>
      </c>
      <c r="I30" s="3">
        <v>0.05</v>
      </c>
    </row>
    <row r="31" spans="1:19" ht="15.75" thickBot="1" x14ac:dyDescent="0.3">
      <c r="A31" s="130" t="s">
        <v>770</v>
      </c>
      <c r="B31" s="130" t="s">
        <v>773</v>
      </c>
      <c r="C31" s="3" t="s">
        <v>139</v>
      </c>
      <c r="D31" s="3" t="s">
        <v>139</v>
      </c>
      <c r="E31" s="3">
        <v>4.1500000000000004</v>
      </c>
      <c r="F31" s="3">
        <v>4.1500000000000004</v>
      </c>
      <c r="G31" s="3">
        <v>14.66</v>
      </c>
      <c r="H31" s="3">
        <v>22.95</v>
      </c>
      <c r="I31" s="3">
        <v>0.01</v>
      </c>
    </row>
    <row r="32" spans="1:19" ht="15.75" thickBot="1" x14ac:dyDescent="0.3">
      <c r="A32" s="130" t="s">
        <v>770</v>
      </c>
      <c r="B32" s="130" t="s">
        <v>774</v>
      </c>
      <c r="C32" s="3">
        <v>0.23</v>
      </c>
      <c r="D32" s="3">
        <v>0.93</v>
      </c>
      <c r="E32" s="3">
        <v>9.06</v>
      </c>
      <c r="F32" s="3">
        <v>2.15</v>
      </c>
      <c r="G32" s="3">
        <v>1.48</v>
      </c>
      <c r="H32" s="3">
        <v>13.84</v>
      </c>
      <c r="I32" s="3">
        <v>0</v>
      </c>
    </row>
    <row r="33" spans="1:9" ht="15.75" thickBot="1" x14ac:dyDescent="0.3">
      <c r="A33" s="130" t="s">
        <v>770</v>
      </c>
      <c r="B33" s="130" t="s">
        <v>775</v>
      </c>
      <c r="C33" s="3" t="s">
        <v>139</v>
      </c>
      <c r="D33" s="3">
        <v>2.65</v>
      </c>
      <c r="E33" s="3">
        <v>70.14</v>
      </c>
      <c r="F33" s="3">
        <v>26</v>
      </c>
      <c r="G33" s="3">
        <v>38.47</v>
      </c>
      <c r="H33" s="3">
        <v>137.26</v>
      </c>
      <c r="I33" s="3">
        <v>7.0000000000000007E-2</v>
      </c>
    </row>
    <row r="34" spans="1:9" ht="15.75" thickBot="1" x14ac:dyDescent="0.3">
      <c r="A34" s="130" t="s">
        <v>770</v>
      </c>
      <c r="B34" s="130" t="s">
        <v>776</v>
      </c>
      <c r="C34" s="3" t="s">
        <v>139</v>
      </c>
      <c r="D34" s="3">
        <v>2.66</v>
      </c>
      <c r="E34" s="3">
        <v>55.84</v>
      </c>
      <c r="F34" s="3">
        <v>20.21</v>
      </c>
      <c r="G34" s="3">
        <v>17.97</v>
      </c>
      <c r="H34" s="3">
        <v>96.68</v>
      </c>
      <c r="I34" s="3">
        <v>0.05</v>
      </c>
    </row>
    <row r="35" spans="1:9" ht="15.75" thickBot="1" x14ac:dyDescent="0.3">
      <c r="A35" s="130" t="s">
        <v>770</v>
      </c>
      <c r="B35" s="130" t="s">
        <v>777</v>
      </c>
      <c r="C35" s="3">
        <v>5.38</v>
      </c>
      <c r="D35" s="3" t="s">
        <v>139</v>
      </c>
      <c r="E35" s="3">
        <v>3.23</v>
      </c>
      <c r="F35" s="3">
        <v>1.61</v>
      </c>
      <c r="G35" s="3">
        <v>2.15</v>
      </c>
      <c r="H35" s="3">
        <v>12.37</v>
      </c>
      <c r="I35" s="3">
        <v>0</v>
      </c>
    </row>
    <row r="36" spans="1:9" ht="15.75" thickBot="1" x14ac:dyDescent="0.3">
      <c r="A36" s="130" t="s">
        <v>778</v>
      </c>
      <c r="B36" s="130" t="s">
        <v>782</v>
      </c>
      <c r="C36" s="3" t="s">
        <v>139</v>
      </c>
      <c r="D36" s="3">
        <v>13.3</v>
      </c>
      <c r="E36" s="3">
        <v>32.31</v>
      </c>
      <c r="F36" s="3">
        <v>14.33</v>
      </c>
      <c r="G36" s="3" t="s">
        <v>139</v>
      </c>
      <c r="H36" s="3">
        <v>59.95</v>
      </c>
      <c r="I36" s="3">
        <v>0.03</v>
      </c>
    </row>
    <row r="37" spans="1:9" x14ac:dyDescent="0.25">
      <c r="G37">
        <f>+SUM(G2:G36)</f>
        <v>503.82000000000005</v>
      </c>
    </row>
  </sheetData>
  <mergeCells count="1">
    <mergeCell ref="K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6" tint="0.59999389629810485"/>
  </sheetPr>
  <dimension ref="A1:J61"/>
  <sheetViews>
    <sheetView workbookViewId="0">
      <selection activeCell="D16" sqref="D16"/>
    </sheetView>
  </sheetViews>
  <sheetFormatPr baseColWidth="10" defaultRowHeight="15" x14ac:dyDescent="0.25"/>
  <cols>
    <col min="1" max="1" width="66.28515625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  <col min="8" max="8" width="19.140625" bestFit="1" customWidth="1"/>
    <col min="9" max="9" width="15.140625" bestFit="1" customWidth="1"/>
    <col min="10" max="10" width="17.7109375" bestFit="1" customWidth="1"/>
  </cols>
  <sheetData>
    <row r="1" spans="1:10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  <c r="H1" s="141" t="s">
        <v>220</v>
      </c>
      <c r="I1" s="141" t="s">
        <v>221</v>
      </c>
      <c r="J1" s="141" t="s">
        <v>222</v>
      </c>
    </row>
    <row r="2" spans="1:10" x14ac:dyDescent="0.25">
      <c r="A2" s="137" t="s">
        <v>63</v>
      </c>
      <c r="B2" s="137" t="s">
        <v>28</v>
      </c>
      <c r="C2" s="138"/>
      <c r="D2" s="138">
        <v>1.1100000000000001</v>
      </c>
      <c r="E2" s="138"/>
      <c r="F2" s="138"/>
      <c r="G2" s="138"/>
      <c r="H2" s="138">
        <v>1012.8</v>
      </c>
      <c r="I2" s="138">
        <v>0.56999999999999995</v>
      </c>
      <c r="J2" s="138">
        <v>667513.34</v>
      </c>
    </row>
    <row r="3" spans="1:10" x14ac:dyDescent="0.25">
      <c r="A3" s="139" t="s">
        <v>67</v>
      </c>
      <c r="B3" s="139" t="s">
        <v>28</v>
      </c>
      <c r="C3" s="140"/>
      <c r="D3" s="140">
        <v>6.74</v>
      </c>
      <c r="E3" s="140"/>
      <c r="F3" s="140"/>
      <c r="G3" s="140"/>
      <c r="H3" s="140">
        <v>6980.52</v>
      </c>
      <c r="I3" s="140">
        <v>3.95</v>
      </c>
      <c r="J3" s="140">
        <v>4600723.54</v>
      </c>
    </row>
    <row r="4" spans="1:10" x14ac:dyDescent="0.25">
      <c r="A4" s="137" t="s">
        <v>83</v>
      </c>
      <c r="B4" s="137" t="s">
        <v>28</v>
      </c>
      <c r="C4" s="138"/>
      <c r="D4" s="138">
        <v>0.01</v>
      </c>
      <c r="E4" s="138"/>
      <c r="F4" s="138"/>
      <c r="G4" s="138"/>
      <c r="H4" s="138">
        <v>52.05</v>
      </c>
      <c r="I4" s="138">
        <v>0.03</v>
      </c>
      <c r="J4" s="138">
        <v>34308.339999999997</v>
      </c>
    </row>
    <row r="5" spans="1:10" x14ac:dyDescent="0.25">
      <c r="A5" s="139" t="s">
        <v>95</v>
      </c>
      <c r="B5" s="139" t="s">
        <v>28</v>
      </c>
      <c r="C5" s="140"/>
      <c r="D5" s="140">
        <v>2.82</v>
      </c>
      <c r="E5" s="140"/>
      <c r="F5" s="140"/>
      <c r="G5" s="140"/>
      <c r="H5" s="140">
        <v>1523.4</v>
      </c>
      <c r="I5" s="140">
        <v>0.86</v>
      </c>
      <c r="J5" s="140">
        <v>1004041.2</v>
      </c>
    </row>
    <row r="6" spans="1:10" x14ac:dyDescent="0.25">
      <c r="A6" s="137" t="s">
        <v>97</v>
      </c>
      <c r="B6" s="137" t="s">
        <v>28</v>
      </c>
      <c r="C6" s="138"/>
      <c r="D6" s="138">
        <v>0</v>
      </c>
      <c r="E6" s="138"/>
      <c r="F6" s="138"/>
      <c r="G6" s="138"/>
      <c r="H6" s="138">
        <v>8.14</v>
      </c>
      <c r="I6" s="138">
        <v>0</v>
      </c>
      <c r="J6" s="138">
        <v>5361.91</v>
      </c>
    </row>
    <row r="7" spans="1:10" x14ac:dyDescent="0.25">
      <c r="A7" s="139" t="s">
        <v>216</v>
      </c>
      <c r="B7" s="139" t="s">
        <v>28</v>
      </c>
      <c r="C7" s="140"/>
      <c r="D7" s="140">
        <v>10.68</v>
      </c>
      <c r="E7" s="140"/>
      <c r="F7" s="140"/>
      <c r="G7" s="140"/>
      <c r="H7" s="140">
        <v>9576.91</v>
      </c>
      <c r="I7" s="140">
        <v>5.42</v>
      </c>
      <c r="J7" s="140">
        <v>6311948.3200000003</v>
      </c>
    </row>
    <row r="8" spans="1:10" x14ac:dyDescent="0.25">
      <c r="A8" s="137" t="s">
        <v>127</v>
      </c>
      <c r="B8" s="137" t="s">
        <v>28</v>
      </c>
      <c r="C8" s="138"/>
      <c r="D8" s="138">
        <v>0</v>
      </c>
      <c r="E8" s="138"/>
      <c r="F8" s="138"/>
      <c r="G8" s="138"/>
      <c r="H8" s="138">
        <v>11.6</v>
      </c>
      <c r="I8" s="138">
        <v>0.01</v>
      </c>
      <c r="J8" s="138">
        <v>7646.92</v>
      </c>
    </row>
    <row r="9" spans="1:10" x14ac:dyDescent="0.25">
      <c r="A9" s="139" t="s">
        <v>77</v>
      </c>
      <c r="B9" s="139" t="s">
        <v>28</v>
      </c>
      <c r="C9" s="140"/>
      <c r="D9" s="140">
        <v>12.9</v>
      </c>
      <c r="E9" s="140"/>
      <c r="F9" s="140"/>
      <c r="G9" s="140"/>
      <c r="H9" s="140">
        <v>13238.11</v>
      </c>
      <c r="I9" s="140">
        <v>7.5</v>
      </c>
      <c r="J9" s="140">
        <v>8724976.4700000007</v>
      </c>
    </row>
    <row r="10" spans="1:10" x14ac:dyDescent="0.25">
      <c r="A10" s="137" t="s">
        <v>79</v>
      </c>
      <c r="B10" s="137" t="s">
        <v>28</v>
      </c>
      <c r="C10" s="138"/>
      <c r="D10" s="138">
        <v>19.489999999999998</v>
      </c>
      <c r="E10" s="138"/>
      <c r="F10" s="138"/>
      <c r="G10" s="138"/>
      <c r="H10" s="138">
        <v>22012.62</v>
      </c>
      <c r="I10" s="138">
        <v>12.47</v>
      </c>
      <c r="J10" s="138">
        <v>14508078.460000001</v>
      </c>
    </row>
    <row r="11" spans="1:10" x14ac:dyDescent="0.25">
      <c r="A11" s="139" t="s">
        <v>217</v>
      </c>
      <c r="B11" s="139" t="s">
        <v>28</v>
      </c>
      <c r="C11" s="140"/>
      <c r="D11" s="140">
        <v>32.4</v>
      </c>
      <c r="E11" s="140"/>
      <c r="F11" s="140"/>
      <c r="G11" s="140"/>
      <c r="H11" s="140">
        <v>35262.339999999997</v>
      </c>
      <c r="I11" s="140">
        <v>19.97</v>
      </c>
      <c r="J11" s="140">
        <v>23240701.859999999</v>
      </c>
    </row>
    <row r="12" spans="1:10" x14ac:dyDescent="0.25">
      <c r="A12" s="137" t="s">
        <v>73</v>
      </c>
      <c r="B12" s="137" t="s">
        <v>28</v>
      </c>
      <c r="C12" s="138"/>
      <c r="D12" s="138">
        <v>0.15</v>
      </c>
      <c r="E12" s="138"/>
      <c r="F12" s="138"/>
      <c r="G12" s="138"/>
      <c r="H12" s="138">
        <v>235.39</v>
      </c>
      <c r="I12" s="138">
        <v>0.13</v>
      </c>
      <c r="J12" s="138">
        <v>155139.85999999999</v>
      </c>
    </row>
    <row r="13" spans="1:10" x14ac:dyDescent="0.25">
      <c r="A13" s="139" t="s">
        <v>81</v>
      </c>
      <c r="B13" s="139" t="s">
        <v>28</v>
      </c>
      <c r="C13" s="140"/>
      <c r="D13" s="140">
        <v>0.02</v>
      </c>
      <c r="E13" s="140"/>
      <c r="F13" s="140"/>
      <c r="G13" s="140"/>
      <c r="H13" s="140">
        <v>25.76</v>
      </c>
      <c r="I13" s="140">
        <v>0.01</v>
      </c>
      <c r="J13" s="140">
        <v>16979.43</v>
      </c>
    </row>
    <row r="14" spans="1:10" x14ac:dyDescent="0.25">
      <c r="A14" s="137" t="s">
        <v>218</v>
      </c>
      <c r="B14" s="137" t="s">
        <v>28</v>
      </c>
      <c r="C14" s="138"/>
      <c r="D14" s="138">
        <v>0.17</v>
      </c>
      <c r="E14" s="138"/>
      <c r="F14" s="138"/>
      <c r="G14" s="138"/>
      <c r="H14" s="138">
        <v>261.14999999999998</v>
      </c>
      <c r="I14" s="138">
        <v>0.15</v>
      </c>
      <c r="J14" s="138">
        <v>172119.29</v>
      </c>
    </row>
    <row r="15" spans="1:10" x14ac:dyDescent="0.25">
      <c r="A15" s="139" t="s">
        <v>40</v>
      </c>
      <c r="B15" s="139" t="s">
        <v>28</v>
      </c>
      <c r="C15" s="140"/>
      <c r="D15" s="140">
        <v>43.25</v>
      </c>
      <c r="E15" s="140"/>
      <c r="F15" s="140"/>
      <c r="G15" s="140"/>
      <c r="H15" s="140">
        <v>45100.4</v>
      </c>
      <c r="I15" s="140">
        <v>25.54</v>
      </c>
      <c r="J15" s="140">
        <v>29724769.469999999</v>
      </c>
    </row>
    <row r="16" spans="1:10" x14ac:dyDescent="0.25">
      <c r="A16" s="137" t="s">
        <v>228</v>
      </c>
      <c r="B16" s="137" t="s">
        <v>28</v>
      </c>
      <c r="C16" s="138"/>
      <c r="D16" s="138">
        <v>0.2</v>
      </c>
      <c r="E16" s="138"/>
      <c r="F16" s="138"/>
      <c r="G16" s="138"/>
      <c r="H16" s="138">
        <v>1299.06</v>
      </c>
      <c r="I16" s="138">
        <v>0.74</v>
      </c>
      <c r="J16" s="138">
        <v>856187.65</v>
      </c>
    </row>
    <row r="17" spans="1:10" x14ac:dyDescent="0.25">
      <c r="A17" s="139" t="s">
        <v>71</v>
      </c>
      <c r="B17" s="139" t="s">
        <v>28</v>
      </c>
      <c r="C17" s="140"/>
      <c r="D17" s="140">
        <v>16.14</v>
      </c>
      <c r="E17" s="140"/>
      <c r="F17" s="140"/>
      <c r="G17" s="140"/>
      <c r="H17" s="140">
        <v>18107.7</v>
      </c>
      <c r="I17" s="140">
        <v>10.26</v>
      </c>
      <c r="J17" s="140">
        <v>11934425.41</v>
      </c>
    </row>
    <row r="18" spans="1:10" x14ac:dyDescent="0.25">
      <c r="A18" s="137" t="s">
        <v>153</v>
      </c>
      <c r="B18" s="137" t="s">
        <v>28</v>
      </c>
      <c r="C18" s="138"/>
      <c r="D18" s="138">
        <v>0.04</v>
      </c>
      <c r="E18" s="138"/>
      <c r="F18" s="138"/>
      <c r="G18" s="138"/>
      <c r="H18" s="138">
        <v>133.99</v>
      </c>
      <c r="I18" s="138">
        <v>0.08</v>
      </c>
      <c r="J18" s="138">
        <v>88307.01</v>
      </c>
    </row>
    <row r="19" spans="1:10" x14ac:dyDescent="0.25">
      <c r="A19" s="139" t="s">
        <v>75</v>
      </c>
      <c r="B19" s="139" t="s">
        <v>28</v>
      </c>
      <c r="C19" s="140"/>
      <c r="D19" s="140">
        <v>2.08</v>
      </c>
      <c r="E19" s="140"/>
      <c r="F19" s="140"/>
      <c r="G19" s="140"/>
      <c r="H19" s="140">
        <v>2841.32</v>
      </c>
      <c r="I19" s="140">
        <v>1.61</v>
      </c>
      <c r="J19" s="140">
        <v>1872659.68</v>
      </c>
    </row>
    <row r="20" spans="1:10" x14ac:dyDescent="0.25">
      <c r="A20" s="137" t="s">
        <v>87</v>
      </c>
      <c r="B20" s="137" t="s">
        <v>28</v>
      </c>
      <c r="C20" s="138"/>
      <c r="D20" s="138">
        <v>19.09</v>
      </c>
      <c r="E20" s="138"/>
      <c r="F20" s="138"/>
      <c r="G20" s="138"/>
      <c r="H20" s="138">
        <v>11973.63</v>
      </c>
      <c r="I20" s="138">
        <v>6.78</v>
      </c>
      <c r="J20" s="138">
        <v>7891580.7199999997</v>
      </c>
    </row>
    <row r="21" spans="1:10" x14ac:dyDescent="0.25">
      <c r="A21" s="139" t="s">
        <v>93</v>
      </c>
      <c r="B21" s="139" t="s">
        <v>28</v>
      </c>
      <c r="C21" s="140"/>
      <c r="D21" s="140">
        <v>0.31</v>
      </c>
      <c r="E21" s="140"/>
      <c r="F21" s="140"/>
      <c r="G21" s="140"/>
      <c r="H21" s="140">
        <v>777.09</v>
      </c>
      <c r="I21" s="140">
        <v>0.44</v>
      </c>
      <c r="J21" s="140">
        <v>512162.85</v>
      </c>
    </row>
    <row r="22" spans="1:10" x14ac:dyDescent="0.25">
      <c r="A22" s="137" t="s">
        <v>229</v>
      </c>
      <c r="B22" s="137" t="s">
        <v>28</v>
      </c>
      <c r="C22" s="138"/>
      <c r="D22" s="138">
        <v>0.01</v>
      </c>
      <c r="E22" s="138"/>
      <c r="F22" s="138"/>
      <c r="G22" s="138"/>
      <c r="H22" s="138">
        <v>-1.86</v>
      </c>
      <c r="I22" s="138">
        <v>0</v>
      </c>
      <c r="J22" s="138">
        <v>-1228.82</v>
      </c>
    </row>
    <row r="23" spans="1:10" x14ac:dyDescent="0.25">
      <c r="A23" s="139" t="s">
        <v>230</v>
      </c>
      <c r="B23" s="139" t="s">
        <v>28</v>
      </c>
      <c r="C23" s="140"/>
      <c r="D23" s="140">
        <v>0.18</v>
      </c>
      <c r="E23" s="140"/>
      <c r="F23" s="140"/>
      <c r="G23" s="140"/>
      <c r="H23" s="140">
        <v>303.66000000000003</v>
      </c>
      <c r="I23" s="140">
        <v>0.17</v>
      </c>
      <c r="J23" s="140">
        <v>200135.06</v>
      </c>
    </row>
    <row r="24" spans="1:10" x14ac:dyDescent="0.25">
      <c r="A24" s="137" t="s">
        <v>48</v>
      </c>
      <c r="B24" s="137" t="s">
        <v>28</v>
      </c>
      <c r="C24" s="138"/>
      <c r="D24" s="138">
        <v>38.049999999999997</v>
      </c>
      <c r="E24" s="138"/>
      <c r="F24" s="138"/>
      <c r="G24" s="138"/>
      <c r="H24" s="138">
        <v>35434.589999999997</v>
      </c>
      <c r="I24" s="138">
        <v>20.07</v>
      </c>
      <c r="J24" s="138">
        <v>23354229.559999999</v>
      </c>
    </row>
    <row r="25" spans="1:10" x14ac:dyDescent="0.25">
      <c r="A25" s="139" t="s">
        <v>228</v>
      </c>
      <c r="B25" s="139" t="s">
        <v>28</v>
      </c>
      <c r="C25" s="140"/>
      <c r="D25" s="140">
        <v>0.88</v>
      </c>
      <c r="E25" s="140"/>
      <c r="F25" s="140"/>
      <c r="G25" s="140"/>
      <c r="H25" s="140">
        <v>12184.4</v>
      </c>
      <c r="I25" s="140">
        <v>6.9</v>
      </c>
      <c r="J25" s="140">
        <v>8030493.8300000001</v>
      </c>
    </row>
    <row r="26" spans="1:10" x14ac:dyDescent="0.25">
      <c r="A26" s="137" t="s">
        <v>231</v>
      </c>
      <c r="B26" s="137" t="s">
        <v>28</v>
      </c>
      <c r="C26" s="138"/>
      <c r="D26" s="138"/>
      <c r="E26" s="138"/>
      <c r="F26" s="138"/>
      <c r="G26" s="138"/>
      <c r="H26" s="138">
        <v>26.52</v>
      </c>
      <c r="I26" s="138">
        <v>0.02</v>
      </c>
      <c r="J26" s="138">
        <v>17475.61</v>
      </c>
    </row>
    <row r="27" spans="1:10" x14ac:dyDescent="0.25">
      <c r="A27" s="139" t="s">
        <v>172</v>
      </c>
      <c r="B27" s="139" t="s">
        <v>28</v>
      </c>
      <c r="C27" s="140"/>
      <c r="D27" s="140"/>
      <c r="E27" s="140"/>
      <c r="F27" s="140"/>
      <c r="G27" s="140"/>
      <c r="H27" s="140">
        <v>8.67</v>
      </c>
      <c r="I27" s="140">
        <v>0</v>
      </c>
      <c r="J27" s="140">
        <v>5711.27</v>
      </c>
    </row>
    <row r="28" spans="1:10" x14ac:dyDescent="0.25">
      <c r="A28" s="137" t="s">
        <v>65</v>
      </c>
      <c r="B28" s="137" t="s">
        <v>28</v>
      </c>
      <c r="C28" s="138"/>
      <c r="D28" s="138">
        <v>0.04</v>
      </c>
      <c r="E28" s="138"/>
      <c r="F28" s="138"/>
      <c r="G28" s="138"/>
      <c r="H28" s="138">
        <v>48.94</v>
      </c>
      <c r="I28" s="138">
        <v>0.03</v>
      </c>
      <c r="J28" s="138">
        <v>32252.62</v>
      </c>
    </row>
    <row r="29" spans="1:10" x14ac:dyDescent="0.25">
      <c r="A29" s="139" t="s">
        <v>85</v>
      </c>
      <c r="B29" s="139" t="s">
        <v>28</v>
      </c>
      <c r="C29" s="140"/>
      <c r="D29" s="140">
        <v>7.12</v>
      </c>
      <c r="E29" s="140"/>
      <c r="F29" s="140"/>
      <c r="G29" s="140"/>
      <c r="H29" s="140">
        <v>10787.62</v>
      </c>
      <c r="I29" s="140">
        <v>6.11</v>
      </c>
      <c r="J29" s="140">
        <v>7109905.9500000002</v>
      </c>
    </row>
    <row r="30" spans="1:10" x14ac:dyDescent="0.25">
      <c r="A30" s="137" t="s">
        <v>91</v>
      </c>
      <c r="B30" s="137" t="s">
        <v>28</v>
      </c>
      <c r="C30" s="138"/>
      <c r="D30" s="138">
        <v>0.01</v>
      </c>
      <c r="E30" s="138"/>
      <c r="F30" s="138"/>
      <c r="G30" s="138"/>
      <c r="H30" s="138">
        <v>7.6</v>
      </c>
      <c r="I30" s="138">
        <v>0</v>
      </c>
      <c r="J30" s="138">
        <v>5011.37</v>
      </c>
    </row>
    <row r="31" spans="1:10" x14ac:dyDescent="0.25">
      <c r="A31" s="139" t="s">
        <v>43</v>
      </c>
      <c r="B31" s="139" t="s">
        <v>28</v>
      </c>
      <c r="C31" s="140"/>
      <c r="D31" s="140">
        <v>8.0500000000000007</v>
      </c>
      <c r="E31" s="140"/>
      <c r="F31" s="140"/>
      <c r="G31" s="140"/>
      <c r="H31" s="140">
        <v>23063.74</v>
      </c>
      <c r="I31" s="140">
        <v>13.06</v>
      </c>
      <c r="J31" s="140">
        <v>15200850.640000001</v>
      </c>
    </row>
    <row r="32" spans="1:10" x14ac:dyDescent="0.25">
      <c r="A32" s="137" t="s">
        <v>232</v>
      </c>
      <c r="B32" s="137" t="s">
        <v>28</v>
      </c>
      <c r="C32" s="138"/>
      <c r="D32" s="138"/>
      <c r="E32" s="138"/>
      <c r="F32" s="138"/>
      <c r="G32" s="138"/>
      <c r="H32" s="138">
        <v>88.35</v>
      </c>
      <c r="I32" s="138">
        <v>0.05</v>
      </c>
      <c r="J32" s="138">
        <v>58229.88</v>
      </c>
    </row>
    <row r="33" spans="1:10" x14ac:dyDescent="0.25">
      <c r="A33" s="139" t="s">
        <v>233</v>
      </c>
      <c r="B33" s="139" t="s">
        <v>28</v>
      </c>
      <c r="C33" s="140"/>
      <c r="D33" s="140"/>
      <c r="E33" s="140"/>
      <c r="F33" s="140"/>
      <c r="G33" s="140"/>
      <c r="H33" s="140">
        <v>3187.12</v>
      </c>
      <c r="I33" s="140">
        <v>1.81</v>
      </c>
      <c r="J33" s="140">
        <v>2100566.7799999998</v>
      </c>
    </row>
    <row r="34" spans="1:10" x14ac:dyDescent="0.25">
      <c r="A34" s="137" t="s">
        <v>234</v>
      </c>
      <c r="B34" s="137" t="s">
        <v>28</v>
      </c>
      <c r="C34" s="138"/>
      <c r="D34" s="138">
        <v>0.15</v>
      </c>
      <c r="E34" s="138"/>
      <c r="F34" s="138"/>
      <c r="G34" s="138"/>
      <c r="H34" s="138">
        <v>116.22</v>
      </c>
      <c r="I34" s="138">
        <v>7.0000000000000007E-2</v>
      </c>
      <c r="J34" s="138">
        <v>76600.02</v>
      </c>
    </row>
    <row r="35" spans="1:10" x14ac:dyDescent="0.25">
      <c r="A35" s="139" t="s">
        <v>235</v>
      </c>
      <c r="B35" s="139" t="s">
        <v>28</v>
      </c>
      <c r="C35" s="140"/>
      <c r="D35" s="140">
        <v>0</v>
      </c>
      <c r="E35" s="140"/>
      <c r="F35" s="140"/>
      <c r="G35" s="140"/>
      <c r="H35" s="140">
        <v>18.489999999999998</v>
      </c>
      <c r="I35" s="140">
        <v>0.01</v>
      </c>
      <c r="J35" s="140">
        <v>12188.03</v>
      </c>
    </row>
    <row r="36" spans="1:10" x14ac:dyDescent="0.25">
      <c r="A36" s="137" t="s">
        <v>236</v>
      </c>
      <c r="B36" s="137" t="s">
        <v>28</v>
      </c>
      <c r="C36" s="138"/>
      <c r="D36" s="138"/>
      <c r="E36" s="138"/>
      <c r="F36" s="138"/>
      <c r="G36" s="138"/>
      <c r="H36" s="138">
        <v>2.41</v>
      </c>
      <c r="I36" s="138">
        <v>0</v>
      </c>
      <c r="J36" s="138">
        <v>1590.92</v>
      </c>
    </row>
    <row r="37" spans="1:10" x14ac:dyDescent="0.25">
      <c r="A37" s="139" t="s">
        <v>187</v>
      </c>
      <c r="B37" s="139" t="s">
        <v>28</v>
      </c>
      <c r="C37" s="140"/>
      <c r="D37" s="140">
        <v>0.16</v>
      </c>
      <c r="E37" s="140"/>
      <c r="F37" s="140"/>
      <c r="G37" s="140"/>
      <c r="H37" s="140">
        <v>3412.6</v>
      </c>
      <c r="I37" s="140">
        <v>1.93</v>
      </c>
      <c r="J37" s="140">
        <v>2249175.62</v>
      </c>
    </row>
    <row r="38" spans="1:10" x14ac:dyDescent="0.25">
      <c r="A38" s="137" t="s">
        <v>231</v>
      </c>
      <c r="B38" s="137" t="s">
        <v>28</v>
      </c>
      <c r="C38" s="138"/>
      <c r="D38" s="138">
        <v>0</v>
      </c>
      <c r="E38" s="138"/>
      <c r="F38" s="138"/>
      <c r="G38" s="138"/>
      <c r="H38" s="138">
        <v>58.6</v>
      </c>
      <c r="I38" s="138">
        <v>0.03</v>
      </c>
      <c r="J38" s="138">
        <v>38622.07</v>
      </c>
    </row>
    <row r="39" spans="1:10" x14ac:dyDescent="0.25">
      <c r="A39" s="139" t="s">
        <v>237</v>
      </c>
      <c r="B39" s="139" t="s">
        <v>28</v>
      </c>
      <c r="C39" s="140"/>
      <c r="D39" s="140">
        <v>0</v>
      </c>
      <c r="E39" s="140"/>
      <c r="F39" s="140"/>
      <c r="G39" s="140"/>
      <c r="H39" s="140">
        <v>63.04</v>
      </c>
      <c r="I39" s="140">
        <v>0.04</v>
      </c>
      <c r="J39" s="140">
        <v>41550.959999999999</v>
      </c>
    </row>
    <row r="40" spans="1:10" x14ac:dyDescent="0.25">
      <c r="A40" s="137" t="s">
        <v>69</v>
      </c>
      <c r="B40" s="137" t="s">
        <v>28</v>
      </c>
      <c r="C40" s="138"/>
      <c r="D40" s="138">
        <v>0.2</v>
      </c>
      <c r="E40" s="138"/>
      <c r="F40" s="138"/>
      <c r="G40" s="138"/>
      <c r="H40" s="138">
        <v>306.35000000000002</v>
      </c>
      <c r="I40" s="138">
        <v>0.17</v>
      </c>
      <c r="J40" s="138">
        <v>201906.65</v>
      </c>
    </row>
    <row r="41" spans="1:10" x14ac:dyDescent="0.25">
      <c r="A41" s="139" t="s">
        <v>238</v>
      </c>
      <c r="B41" s="139" t="s">
        <v>28</v>
      </c>
      <c r="C41" s="140"/>
      <c r="D41" s="140"/>
      <c r="E41" s="140"/>
      <c r="F41" s="140"/>
      <c r="G41" s="140"/>
      <c r="H41" s="140">
        <v>671.82</v>
      </c>
      <c r="I41" s="140">
        <v>0.38</v>
      </c>
      <c r="J41" s="140">
        <v>442785.79</v>
      </c>
    </row>
    <row r="42" spans="1:10" x14ac:dyDescent="0.25">
      <c r="A42" s="137" t="s">
        <v>239</v>
      </c>
      <c r="B42" s="137" t="s">
        <v>28</v>
      </c>
      <c r="C42" s="138"/>
      <c r="D42" s="138"/>
      <c r="E42" s="138"/>
      <c r="F42" s="138"/>
      <c r="G42" s="138"/>
      <c r="H42" s="138">
        <v>3844.35</v>
      </c>
      <c r="I42" s="138">
        <v>2.1800000000000002</v>
      </c>
      <c r="J42" s="138">
        <v>2533736.96</v>
      </c>
    </row>
    <row r="43" spans="1:10" x14ac:dyDescent="0.25">
      <c r="A43" s="139" t="s">
        <v>240</v>
      </c>
      <c r="B43" s="139" t="s">
        <v>28</v>
      </c>
      <c r="C43" s="140"/>
      <c r="D43" s="140">
        <v>0.26</v>
      </c>
      <c r="E43" s="140"/>
      <c r="F43" s="140"/>
      <c r="G43" s="140"/>
      <c r="H43" s="140">
        <v>430.17</v>
      </c>
      <c r="I43" s="140">
        <v>0.24</v>
      </c>
      <c r="J43" s="140">
        <v>283516.45</v>
      </c>
    </row>
    <row r="44" spans="1:10" x14ac:dyDescent="0.25">
      <c r="A44" s="137" t="s">
        <v>241</v>
      </c>
      <c r="B44" s="137" t="s">
        <v>28</v>
      </c>
      <c r="C44" s="138"/>
      <c r="D44" s="138">
        <v>0</v>
      </c>
      <c r="E44" s="138"/>
      <c r="F44" s="138"/>
      <c r="G44" s="138"/>
      <c r="H44" s="138">
        <v>0</v>
      </c>
      <c r="I44" s="138">
        <v>0</v>
      </c>
      <c r="J44" s="138">
        <v>0</v>
      </c>
    </row>
    <row r="45" spans="1:10" x14ac:dyDescent="0.25">
      <c r="A45" s="139" t="s">
        <v>242</v>
      </c>
      <c r="B45" s="139" t="s">
        <v>28</v>
      </c>
      <c r="C45" s="140"/>
      <c r="D45" s="140"/>
      <c r="E45" s="140"/>
      <c r="F45" s="140"/>
      <c r="G45" s="140"/>
      <c r="H45" s="140">
        <v>2.44</v>
      </c>
      <c r="I45" s="140">
        <v>0</v>
      </c>
      <c r="J45" s="140">
        <v>1608.59</v>
      </c>
    </row>
    <row r="46" spans="1:10" x14ac:dyDescent="0.25">
      <c r="A46" s="137" t="s">
        <v>243</v>
      </c>
      <c r="B46" s="137" t="s">
        <v>28</v>
      </c>
      <c r="C46" s="138"/>
      <c r="D46" s="138">
        <v>3.12</v>
      </c>
      <c r="E46" s="138"/>
      <c r="F46" s="138"/>
      <c r="G46" s="138"/>
      <c r="H46" s="138">
        <v>20310.060000000001</v>
      </c>
      <c r="I46" s="138">
        <v>11.5</v>
      </c>
      <c r="J46" s="138">
        <v>13385952.300000001</v>
      </c>
    </row>
    <row r="47" spans="1:10" x14ac:dyDescent="0.25">
      <c r="A47" s="139" t="s">
        <v>244</v>
      </c>
      <c r="B47" s="139" t="s">
        <v>28</v>
      </c>
      <c r="C47" s="140"/>
      <c r="D47" s="140"/>
      <c r="E47" s="140"/>
      <c r="F47" s="140"/>
      <c r="G47" s="140"/>
      <c r="H47" s="140">
        <v>29898.51</v>
      </c>
      <c r="I47" s="140">
        <v>16.93</v>
      </c>
      <c r="J47" s="140">
        <v>19705508.219999999</v>
      </c>
    </row>
    <row r="48" spans="1:10" x14ac:dyDescent="0.25">
      <c r="A48" s="137" t="s">
        <v>89</v>
      </c>
      <c r="B48" s="137" t="s">
        <v>28</v>
      </c>
      <c r="C48" s="138"/>
      <c r="D48" s="138">
        <v>4.8499999999999996</v>
      </c>
      <c r="E48" s="138"/>
      <c r="F48" s="138"/>
      <c r="G48" s="138"/>
      <c r="H48" s="138">
        <v>5171.05</v>
      </c>
      <c r="I48" s="138">
        <v>2.93</v>
      </c>
      <c r="J48" s="138">
        <v>3408133.33</v>
      </c>
    </row>
    <row r="49" spans="1:10" x14ac:dyDescent="0.25">
      <c r="A49" s="139" t="s">
        <v>245</v>
      </c>
      <c r="B49" s="139" t="s">
        <v>28</v>
      </c>
      <c r="C49" s="140"/>
      <c r="D49" s="140">
        <v>1.56</v>
      </c>
      <c r="E49" s="140"/>
      <c r="F49" s="140"/>
      <c r="G49" s="140"/>
      <c r="H49" s="140">
        <v>7535.1</v>
      </c>
      <c r="I49" s="140">
        <v>4.2699999999999996</v>
      </c>
      <c r="J49" s="140">
        <v>4966235.97</v>
      </c>
    </row>
    <row r="50" spans="1:10" x14ac:dyDescent="0.25">
      <c r="A50" s="137" t="s">
        <v>246</v>
      </c>
      <c r="B50" s="137" t="s">
        <v>28</v>
      </c>
      <c r="C50" s="138"/>
      <c r="D50" s="138">
        <v>0.19</v>
      </c>
      <c r="E50" s="138"/>
      <c r="F50" s="138"/>
      <c r="G50" s="138"/>
      <c r="H50" s="138">
        <v>234.52</v>
      </c>
      <c r="I50" s="138">
        <v>0.13</v>
      </c>
      <c r="J50" s="138">
        <v>154565.42000000001</v>
      </c>
    </row>
    <row r="51" spans="1:10" x14ac:dyDescent="0.25">
      <c r="A51" s="139" t="s">
        <v>247</v>
      </c>
      <c r="B51" s="139" t="s">
        <v>28</v>
      </c>
      <c r="C51" s="140"/>
      <c r="D51" s="140">
        <v>0</v>
      </c>
      <c r="E51" s="140"/>
      <c r="F51" s="140"/>
      <c r="G51" s="140"/>
      <c r="H51" s="140">
        <v>0.69</v>
      </c>
      <c r="I51" s="140">
        <v>0</v>
      </c>
      <c r="J51" s="140">
        <v>454.6</v>
      </c>
    </row>
    <row r="52" spans="1:10" x14ac:dyDescent="0.25">
      <c r="A52" s="137" t="s">
        <v>99</v>
      </c>
      <c r="B52" s="137" t="s">
        <v>28</v>
      </c>
      <c r="C52" s="138"/>
      <c r="D52" s="138">
        <v>0.06</v>
      </c>
      <c r="E52" s="138"/>
      <c r="F52" s="138"/>
      <c r="G52" s="138"/>
      <c r="H52" s="138">
        <v>78.459999999999994</v>
      </c>
      <c r="I52" s="138">
        <v>0.04</v>
      </c>
      <c r="J52" s="138">
        <v>51713.03</v>
      </c>
    </row>
    <row r="53" spans="1:10" x14ac:dyDescent="0.25">
      <c r="A53" s="139" t="s">
        <v>248</v>
      </c>
      <c r="B53" s="139" t="s">
        <v>28</v>
      </c>
      <c r="C53" s="140"/>
      <c r="D53" s="140">
        <v>0.04</v>
      </c>
      <c r="E53" s="140"/>
      <c r="F53" s="140"/>
      <c r="G53" s="140"/>
      <c r="H53" s="140">
        <v>22.58</v>
      </c>
      <c r="I53" s="140">
        <v>0.01</v>
      </c>
      <c r="J53" s="140">
        <v>14881.28</v>
      </c>
    </row>
    <row r="54" spans="1:10" x14ac:dyDescent="0.25">
      <c r="A54" s="137" t="s">
        <v>249</v>
      </c>
      <c r="B54" s="137" t="s">
        <v>28</v>
      </c>
      <c r="C54" s="138"/>
      <c r="D54" s="138">
        <v>0.03</v>
      </c>
      <c r="E54" s="138"/>
      <c r="F54" s="138"/>
      <c r="G54" s="138"/>
      <c r="H54" s="138">
        <v>50.78</v>
      </c>
      <c r="I54" s="138">
        <v>0.03</v>
      </c>
      <c r="J54" s="138">
        <v>33470.379999999997</v>
      </c>
    </row>
    <row r="55" spans="1:10" x14ac:dyDescent="0.25">
      <c r="A55" s="139" t="s">
        <v>52</v>
      </c>
      <c r="B55" s="139" t="s">
        <v>28</v>
      </c>
      <c r="C55" s="140"/>
      <c r="D55" s="140">
        <v>10.31</v>
      </c>
      <c r="E55" s="140"/>
      <c r="F55" s="140"/>
      <c r="G55" s="140"/>
      <c r="H55" s="140">
        <v>68678.52</v>
      </c>
      <c r="I55" s="140">
        <v>38.9</v>
      </c>
      <c r="J55" s="140">
        <v>45264641.990000002</v>
      </c>
    </row>
    <row r="56" spans="1:10" x14ac:dyDescent="0.25">
      <c r="A56" s="137" t="s">
        <v>250</v>
      </c>
      <c r="B56" s="137" t="s">
        <v>28</v>
      </c>
      <c r="C56" s="138"/>
      <c r="D56" s="138">
        <v>0.09</v>
      </c>
      <c r="E56" s="138"/>
      <c r="F56" s="138"/>
      <c r="G56" s="138"/>
      <c r="H56" s="138">
        <v>327.75</v>
      </c>
      <c r="I56" s="138">
        <v>0.19</v>
      </c>
      <c r="J56" s="138">
        <v>216015.27</v>
      </c>
    </row>
    <row r="57" spans="1:10" x14ac:dyDescent="0.25">
      <c r="A57" s="139" t="s">
        <v>251</v>
      </c>
      <c r="B57" s="139" t="s">
        <v>28</v>
      </c>
      <c r="C57" s="140"/>
      <c r="D57" s="140">
        <v>0.08</v>
      </c>
      <c r="E57" s="140"/>
      <c r="F57" s="140"/>
      <c r="G57" s="140"/>
      <c r="H57" s="140">
        <v>494.29</v>
      </c>
      <c r="I57" s="140">
        <v>0.28000000000000003</v>
      </c>
      <c r="J57" s="140">
        <v>325778.05</v>
      </c>
    </row>
    <row r="58" spans="1:10" x14ac:dyDescent="0.25">
      <c r="A58" s="137" t="s">
        <v>252</v>
      </c>
      <c r="B58" s="137" t="s">
        <v>28</v>
      </c>
      <c r="C58" s="138"/>
      <c r="D58" s="138">
        <v>0.01</v>
      </c>
      <c r="E58" s="138"/>
      <c r="F58" s="138"/>
      <c r="G58" s="138"/>
      <c r="H58" s="138">
        <v>44.42</v>
      </c>
      <c r="I58" s="138">
        <v>0.03</v>
      </c>
      <c r="J58" s="138">
        <v>29277.45</v>
      </c>
    </row>
    <row r="59" spans="1:10" x14ac:dyDescent="0.25">
      <c r="A59" s="139" t="s">
        <v>204</v>
      </c>
      <c r="B59" s="139" t="s">
        <v>28</v>
      </c>
      <c r="C59" s="140"/>
      <c r="D59" s="140">
        <v>0.18</v>
      </c>
      <c r="E59" s="140"/>
      <c r="F59" s="140"/>
      <c r="G59" s="140"/>
      <c r="H59" s="140">
        <v>866.47</v>
      </c>
      <c r="I59" s="140">
        <v>0.49</v>
      </c>
      <c r="J59" s="140">
        <v>571070.77</v>
      </c>
    </row>
    <row r="60" spans="1:10" x14ac:dyDescent="0.25">
      <c r="A60" s="137" t="s">
        <v>205</v>
      </c>
      <c r="B60" s="137" t="s">
        <v>28</v>
      </c>
      <c r="C60" s="138"/>
      <c r="D60" s="138"/>
      <c r="E60" s="138">
        <v>24670967.149999999</v>
      </c>
      <c r="F60" s="138"/>
      <c r="G60" s="138"/>
      <c r="H60" s="138">
        <v>176556.32</v>
      </c>
      <c r="I60" s="138">
        <v>100</v>
      </c>
      <c r="J60" s="138">
        <v>116364738.05</v>
      </c>
    </row>
    <row r="61" spans="1:10" x14ac:dyDescent="0.25">
      <c r="A61" s="139" t="s">
        <v>206</v>
      </c>
      <c r="B61" s="139" t="s">
        <v>28</v>
      </c>
      <c r="C61" s="140">
        <v>37432.43</v>
      </c>
      <c r="D61" s="140"/>
      <c r="E61" s="140"/>
      <c r="F61" s="140"/>
      <c r="G61" s="140"/>
      <c r="H61" s="140">
        <v>176556.32</v>
      </c>
      <c r="I61" s="140">
        <v>100</v>
      </c>
      <c r="J61" s="140">
        <v>116364738.05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6" tint="0.59999389629810485"/>
  </sheetPr>
  <dimension ref="A1:O39"/>
  <sheetViews>
    <sheetView workbookViewId="0">
      <selection activeCell="A24" sqref="A24"/>
    </sheetView>
  </sheetViews>
  <sheetFormatPr baseColWidth="10" defaultRowHeight="15" x14ac:dyDescent="0.25"/>
  <cols>
    <col min="1" max="1" width="37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  <col min="8" max="8" width="19.140625" bestFit="1" customWidth="1"/>
    <col min="9" max="9" width="15.140625" bestFit="1" customWidth="1"/>
    <col min="10" max="10" width="17.7109375" bestFit="1" customWidth="1"/>
    <col min="11" max="11" width="16.5703125" bestFit="1" customWidth="1"/>
    <col min="12" max="12" width="10.28515625" bestFit="1" customWidth="1"/>
    <col min="13" max="13" width="27.7109375" bestFit="1" customWidth="1"/>
    <col min="14" max="14" width="30.85546875" bestFit="1" customWidth="1"/>
    <col min="15" max="15" width="20" bestFit="1" customWidth="1"/>
  </cols>
  <sheetData>
    <row r="1" spans="1:15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  <c r="H1" s="141" t="s">
        <v>220</v>
      </c>
      <c r="I1" s="141" t="s">
        <v>221</v>
      </c>
      <c r="J1" s="141" t="s">
        <v>222</v>
      </c>
      <c r="K1" s="141" t="s">
        <v>223</v>
      </c>
      <c r="L1" s="141" t="s">
        <v>224</v>
      </c>
      <c r="M1" s="141" t="s">
        <v>225</v>
      </c>
      <c r="N1" s="141" t="s">
        <v>226</v>
      </c>
      <c r="O1" s="141" t="s">
        <v>227</v>
      </c>
    </row>
    <row r="2" spans="1:15" x14ac:dyDescent="0.25">
      <c r="A2" s="137" t="s">
        <v>213</v>
      </c>
      <c r="B2" s="137" t="s">
        <v>28</v>
      </c>
      <c r="C2" s="138"/>
      <c r="D2" s="138"/>
      <c r="E2" s="138"/>
      <c r="F2" s="138"/>
      <c r="G2" s="138"/>
      <c r="H2" s="138"/>
      <c r="I2" s="138">
        <v>0</v>
      </c>
      <c r="J2" s="138"/>
      <c r="K2" s="138">
        <v>1.05</v>
      </c>
      <c r="L2" s="138"/>
      <c r="M2" s="138"/>
      <c r="N2" s="138"/>
      <c r="O2" s="137" t="s">
        <v>56</v>
      </c>
    </row>
    <row r="3" spans="1:15" x14ac:dyDescent="0.25">
      <c r="A3" s="139" t="s">
        <v>63</v>
      </c>
      <c r="B3" s="139" t="s">
        <v>28</v>
      </c>
      <c r="C3" s="140"/>
      <c r="D3" s="140">
        <v>1.1100000000000001</v>
      </c>
      <c r="E3" s="140"/>
      <c r="F3" s="140">
        <v>3.86</v>
      </c>
      <c r="G3" s="140"/>
      <c r="H3" s="140"/>
      <c r="I3" s="140">
        <v>0.56999999999999995</v>
      </c>
      <c r="J3" s="140"/>
      <c r="K3" s="140">
        <v>3.86</v>
      </c>
      <c r="L3" s="140"/>
      <c r="M3" s="140"/>
      <c r="N3" s="140"/>
      <c r="O3" s="139" t="s">
        <v>56</v>
      </c>
    </row>
    <row r="4" spans="1:15" x14ac:dyDescent="0.25">
      <c r="A4" s="137" t="s">
        <v>65</v>
      </c>
      <c r="B4" s="137" t="s">
        <v>28</v>
      </c>
      <c r="C4" s="138"/>
      <c r="D4" s="138">
        <v>0.03</v>
      </c>
      <c r="E4" s="138"/>
      <c r="F4" s="138">
        <v>5.64</v>
      </c>
      <c r="G4" s="138"/>
      <c r="H4" s="138"/>
      <c r="I4" s="138">
        <v>0.01</v>
      </c>
      <c r="J4" s="138"/>
      <c r="K4" s="138">
        <v>5.69</v>
      </c>
      <c r="L4" s="138"/>
      <c r="M4" s="138"/>
      <c r="N4" s="138"/>
      <c r="O4" s="137" t="s">
        <v>56</v>
      </c>
    </row>
    <row r="5" spans="1:15" x14ac:dyDescent="0.25">
      <c r="A5" s="139" t="s">
        <v>65</v>
      </c>
      <c r="B5" s="139" t="s">
        <v>28</v>
      </c>
      <c r="C5" s="140"/>
      <c r="D5" s="140">
        <v>0.01</v>
      </c>
      <c r="E5" s="140"/>
      <c r="F5" s="140">
        <v>2.89</v>
      </c>
      <c r="G5" s="140"/>
      <c r="H5" s="140"/>
      <c r="I5" s="140">
        <v>0.02</v>
      </c>
      <c r="J5" s="140"/>
      <c r="K5" s="140">
        <v>3.11</v>
      </c>
      <c r="L5" s="140"/>
      <c r="M5" s="140"/>
      <c r="N5" s="140"/>
      <c r="O5" s="139" t="s">
        <v>58</v>
      </c>
    </row>
    <row r="6" spans="1:15" x14ac:dyDescent="0.25">
      <c r="A6" s="137" t="s">
        <v>67</v>
      </c>
      <c r="B6" s="137" t="s">
        <v>28</v>
      </c>
      <c r="C6" s="138"/>
      <c r="D6" s="138">
        <v>6.74</v>
      </c>
      <c r="E6" s="138"/>
      <c r="F6" s="138">
        <v>1.03</v>
      </c>
      <c r="G6" s="138"/>
      <c r="H6" s="138"/>
      <c r="I6" s="138">
        <v>3.95</v>
      </c>
      <c r="J6" s="138"/>
      <c r="K6" s="138">
        <v>1.1200000000000001</v>
      </c>
      <c r="L6" s="138"/>
      <c r="M6" s="138"/>
      <c r="N6" s="138"/>
      <c r="O6" s="137" t="s">
        <v>58</v>
      </c>
    </row>
    <row r="7" spans="1:15" x14ac:dyDescent="0.25">
      <c r="A7" s="139" t="s">
        <v>127</v>
      </c>
      <c r="B7" s="139" t="s">
        <v>28</v>
      </c>
      <c r="C7" s="140"/>
      <c r="D7" s="140">
        <v>0</v>
      </c>
      <c r="E7" s="140"/>
      <c r="F7" s="140">
        <v>0.69</v>
      </c>
      <c r="G7" s="140"/>
      <c r="H7" s="140"/>
      <c r="I7" s="140">
        <v>0</v>
      </c>
      <c r="J7" s="140"/>
      <c r="K7" s="140">
        <v>0.68</v>
      </c>
      <c r="L7" s="140"/>
      <c r="M7" s="140"/>
      <c r="N7" s="140"/>
      <c r="O7" s="139" t="s">
        <v>166</v>
      </c>
    </row>
    <row r="8" spans="1:15" x14ac:dyDescent="0.25">
      <c r="A8" s="137" t="s">
        <v>127</v>
      </c>
      <c r="B8" s="137" t="s">
        <v>28</v>
      </c>
      <c r="C8" s="138"/>
      <c r="D8" s="138">
        <v>0</v>
      </c>
      <c r="E8" s="138"/>
      <c r="F8" s="138">
        <v>3.88</v>
      </c>
      <c r="G8" s="138"/>
      <c r="H8" s="138"/>
      <c r="I8" s="138">
        <v>0</v>
      </c>
      <c r="J8" s="138"/>
      <c r="K8" s="138">
        <v>3.88</v>
      </c>
      <c r="L8" s="138"/>
      <c r="M8" s="138"/>
      <c r="N8" s="138"/>
      <c r="O8" s="137" t="s">
        <v>56</v>
      </c>
    </row>
    <row r="9" spans="1:15" x14ac:dyDescent="0.25">
      <c r="A9" s="139" t="s">
        <v>127</v>
      </c>
      <c r="B9" s="139" t="s">
        <v>28</v>
      </c>
      <c r="C9" s="140"/>
      <c r="D9" s="140">
        <v>0</v>
      </c>
      <c r="E9" s="140"/>
      <c r="F9" s="140">
        <v>2.77</v>
      </c>
      <c r="G9" s="140"/>
      <c r="H9" s="140"/>
      <c r="I9" s="140">
        <v>0</v>
      </c>
      <c r="J9" s="140"/>
      <c r="K9" s="140">
        <v>2.65</v>
      </c>
      <c r="L9" s="140"/>
      <c r="M9" s="140"/>
      <c r="N9" s="140"/>
      <c r="O9" s="139" t="s">
        <v>57</v>
      </c>
    </row>
    <row r="10" spans="1:15" x14ac:dyDescent="0.25">
      <c r="A10" s="137" t="s">
        <v>71</v>
      </c>
      <c r="B10" s="137" t="s">
        <v>28</v>
      </c>
      <c r="C10" s="138"/>
      <c r="D10" s="138">
        <v>0.52</v>
      </c>
      <c r="E10" s="138"/>
      <c r="F10" s="138">
        <v>4.84</v>
      </c>
      <c r="G10" s="138"/>
      <c r="H10" s="138"/>
      <c r="I10" s="138">
        <v>0.46</v>
      </c>
      <c r="J10" s="138"/>
      <c r="K10" s="138">
        <v>4.8499999999999996</v>
      </c>
      <c r="L10" s="138"/>
      <c r="M10" s="138"/>
      <c r="N10" s="138"/>
      <c r="O10" s="137" t="s">
        <v>56</v>
      </c>
    </row>
    <row r="11" spans="1:15" x14ac:dyDescent="0.25">
      <c r="A11" s="139" t="s">
        <v>71</v>
      </c>
      <c r="B11" s="139" t="s">
        <v>28</v>
      </c>
      <c r="C11" s="140"/>
      <c r="D11" s="140">
        <v>15.21</v>
      </c>
      <c r="E11" s="140"/>
      <c r="F11" s="140">
        <v>1.97</v>
      </c>
      <c r="G11" s="140"/>
      <c r="H11" s="140"/>
      <c r="I11" s="140">
        <v>9.6</v>
      </c>
      <c r="J11" s="140"/>
      <c r="K11" s="140">
        <v>1.97</v>
      </c>
      <c r="L11" s="140"/>
      <c r="M11" s="140"/>
      <c r="N11" s="140"/>
      <c r="O11" s="139" t="s">
        <v>58</v>
      </c>
    </row>
    <row r="12" spans="1:15" x14ac:dyDescent="0.25">
      <c r="A12" s="137" t="s">
        <v>71</v>
      </c>
      <c r="B12" s="137" t="s">
        <v>28</v>
      </c>
      <c r="C12" s="138"/>
      <c r="D12" s="138">
        <v>0.41</v>
      </c>
      <c r="E12" s="138"/>
      <c r="F12" s="138">
        <v>2.62</v>
      </c>
      <c r="G12" s="138"/>
      <c r="H12" s="138"/>
      <c r="I12" s="138">
        <v>0.19</v>
      </c>
      <c r="J12" s="138"/>
      <c r="K12" s="138">
        <v>2.6</v>
      </c>
      <c r="L12" s="138"/>
      <c r="M12" s="138"/>
      <c r="N12" s="138"/>
      <c r="O12" s="137" t="s">
        <v>57</v>
      </c>
    </row>
    <row r="13" spans="1:15" x14ac:dyDescent="0.25">
      <c r="A13" s="139" t="s">
        <v>153</v>
      </c>
      <c r="B13" s="139" t="s">
        <v>28</v>
      </c>
      <c r="C13" s="140"/>
      <c r="D13" s="140">
        <v>0.04</v>
      </c>
      <c r="E13" s="140"/>
      <c r="F13" s="140">
        <v>1.96</v>
      </c>
      <c r="G13" s="140"/>
      <c r="H13" s="140"/>
      <c r="I13" s="140">
        <v>0.08</v>
      </c>
      <c r="J13" s="140"/>
      <c r="K13" s="140">
        <v>2</v>
      </c>
      <c r="L13" s="140"/>
      <c r="M13" s="140"/>
      <c r="N13" s="140"/>
      <c r="O13" s="139" t="s">
        <v>58</v>
      </c>
    </row>
    <row r="14" spans="1:15" x14ac:dyDescent="0.25">
      <c r="A14" s="137" t="s">
        <v>73</v>
      </c>
      <c r="B14" s="137" t="s">
        <v>28</v>
      </c>
      <c r="C14" s="138"/>
      <c r="D14" s="138">
        <v>0.15</v>
      </c>
      <c r="E14" s="138"/>
      <c r="F14" s="138">
        <v>1.86</v>
      </c>
      <c r="G14" s="138"/>
      <c r="H14" s="138"/>
      <c r="I14" s="138">
        <v>0.13</v>
      </c>
      <c r="J14" s="138"/>
      <c r="K14" s="138">
        <v>1.8</v>
      </c>
      <c r="L14" s="138"/>
      <c r="M14" s="138"/>
      <c r="N14" s="138"/>
      <c r="O14" s="137" t="s">
        <v>145</v>
      </c>
    </row>
    <row r="15" spans="1:15" x14ac:dyDescent="0.25">
      <c r="A15" s="139" t="s">
        <v>75</v>
      </c>
      <c r="B15" s="139" t="s">
        <v>28</v>
      </c>
      <c r="C15" s="140"/>
      <c r="D15" s="140">
        <v>2.08</v>
      </c>
      <c r="E15" s="140"/>
      <c r="F15" s="140">
        <v>2.5099999999999998</v>
      </c>
      <c r="G15" s="140"/>
      <c r="H15" s="140"/>
      <c r="I15" s="140">
        <v>1.61</v>
      </c>
      <c r="J15" s="140"/>
      <c r="K15" s="140">
        <v>2.48</v>
      </c>
      <c r="L15" s="140"/>
      <c r="M15" s="140"/>
      <c r="N15" s="140"/>
      <c r="O15" s="139" t="s">
        <v>58</v>
      </c>
    </row>
    <row r="16" spans="1:15" x14ac:dyDescent="0.25">
      <c r="A16" s="137" t="s">
        <v>77</v>
      </c>
      <c r="B16" s="137" t="s">
        <v>28</v>
      </c>
      <c r="C16" s="138"/>
      <c r="D16" s="138">
        <v>12.9</v>
      </c>
      <c r="E16" s="138"/>
      <c r="F16" s="138">
        <v>4.28</v>
      </c>
      <c r="G16" s="138"/>
      <c r="H16" s="138"/>
      <c r="I16" s="138">
        <v>7.5</v>
      </c>
      <c r="J16" s="138"/>
      <c r="K16" s="138">
        <v>4.32</v>
      </c>
      <c r="L16" s="138"/>
      <c r="M16" s="138"/>
      <c r="N16" s="138"/>
      <c r="O16" s="137" t="s">
        <v>56</v>
      </c>
    </row>
    <row r="17" spans="1:15" x14ac:dyDescent="0.25">
      <c r="A17" s="139" t="s">
        <v>79</v>
      </c>
      <c r="B17" s="139" t="s">
        <v>28</v>
      </c>
      <c r="C17" s="140"/>
      <c r="D17" s="140">
        <v>19.489999999999998</v>
      </c>
      <c r="E17" s="140"/>
      <c r="F17" s="140">
        <v>1.28</v>
      </c>
      <c r="G17" s="140"/>
      <c r="H17" s="140"/>
      <c r="I17" s="140">
        <v>12.47</v>
      </c>
      <c r="J17" s="140"/>
      <c r="K17" s="140">
        <v>1.34</v>
      </c>
      <c r="L17" s="140"/>
      <c r="M17" s="140"/>
      <c r="N17" s="140"/>
      <c r="O17" s="139" t="s">
        <v>58</v>
      </c>
    </row>
    <row r="18" spans="1:15" x14ac:dyDescent="0.25">
      <c r="A18" s="137" t="s">
        <v>81</v>
      </c>
      <c r="B18" s="137" t="s">
        <v>28</v>
      </c>
      <c r="C18" s="138"/>
      <c r="D18" s="138">
        <v>0.02</v>
      </c>
      <c r="E18" s="138"/>
      <c r="F18" s="138">
        <v>3.38</v>
      </c>
      <c r="G18" s="138"/>
      <c r="H18" s="138"/>
      <c r="I18" s="138">
        <v>0.01</v>
      </c>
      <c r="J18" s="138"/>
      <c r="K18" s="138">
        <v>3.34</v>
      </c>
      <c r="L18" s="138"/>
      <c r="M18" s="138"/>
      <c r="N18" s="138"/>
      <c r="O18" s="137" t="s">
        <v>58</v>
      </c>
    </row>
    <row r="19" spans="1:15" x14ac:dyDescent="0.25">
      <c r="A19" s="139" t="s">
        <v>83</v>
      </c>
      <c r="B19" s="139" t="s">
        <v>28</v>
      </c>
      <c r="C19" s="140"/>
      <c r="D19" s="140">
        <v>0.01</v>
      </c>
      <c r="E19" s="140"/>
      <c r="F19" s="140">
        <v>1.56</v>
      </c>
      <c r="G19" s="140"/>
      <c r="H19" s="140"/>
      <c r="I19" s="140">
        <v>0.03</v>
      </c>
      <c r="J19" s="140"/>
      <c r="K19" s="140">
        <v>1.29</v>
      </c>
      <c r="L19" s="140"/>
      <c r="M19" s="140"/>
      <c r="N19" s="140"/>
      <c r="O19" s="139" t="s">
        <v>58</v>
      </c>
    </row>
    <row r="20" spans="1:15" x14ac:dyDescent="0.25">
      <c r="A20" s="137" t="s">
        <v>85</v>
      </c>
      <c r="B20" s="137" t="s">
        <v>28</v>
      </c>
      <c r="C20" s="138"/>
      <c r="D20" s="138">
        <v>0.17</v>
      </c>
      <c r="E20" s="138"/>
      <c r="F20" s="138">
        <v>7.45</v>
      </c>
      <c r="G20" s="138"/>
      <c r="H20" s="138"/>
      <c r="I20" s="138">
        <v>0.08</v>
      </c>
      <c r="J20" s="138"/>
      <c r="K20" s="138">
        <v>12.24</v>
      </c>
      <c r="L20" s="138"/>
      <c r="M20" s="138"/>
      <c r="N20" s="138"/>
      <c r="O20" s="137" t="s">
        <v>56</v>
      </c>
    </row>
    <row r="21" spans="1:15" x14ac:dyDescent="0.25">
      <c r="A21" s="139" t="s">
        <v>85</v>
      </c>
      <c r="B21" s="139" t="s">
        <v>28</v>
      </c>
      <c r="C21" s="140"/>
      <c r="D21" s="140">
        <v>5.56</v>
      </c>
      <c r="E21" s="140"/>
      <c r="F21" s="140">
        <v>2.34</v>
      </c>
      <c r="G21" s="140"/>
      <c r="H21" s="140"/>
      <c r="I21" s="140">
        <v>4.9400000000000004</v>
      </c>
      <c r="J21" s="140"/>
      <c r="K21" s="140">
        <v>2.34</v>
      </c>
      <c r="L21" s="140"/>
      <c r="M21" s="140"/>
      <c r="N21" s="140"/>
      <c r="O21" s="139" t="s">
        <v>58</v>
      </c>
    </row>
    <row r="22" spans="1:15" x14ac:dyDescent="0.25">
      <c r="A22" s="137" t="s">
        <v>85</v>
      </c>
      <c r="B22" s="137" t="s">
        <v>28</v>
      </c>
      <c r="C22" s="138"/>
      <c r="D22" s="138">
        <v>1.38</v>
      </c>
      <c r="E22" s="138"/>
      <c r="F22" s="138">
        <v>3.75</v>
      </c>
      <c r="G22" s="138"/>
      <c r="H22" s="138"/>
      <c r="I22" s="138">
        <v>1.1000000000000001</v>
      </c>
      <c r="J22" s="138"/>
      <c r="K22" s="138">
        <v>3.92</v>
      </c>
      <c r="L22" s="138"/>
      <c r="M22" s="138"/>
      <c r="N22" s="138"/>
      <c r="O22" s="137" t="s">
        <v>57</v>
      </c>
    </row>
    <row r="23" spans="1:15" x14ac:dyDescent="0.25">
      <c r="A23" s="139" t="s">
        <v>93</v>
      </c>
      <c r="B23" s="139" t="s">
        <v>28</v>
      </c>
      <c r="C23" s="140"/>
      <c r="D23" s="140">
        <v>0.31</v>
      </c>
      <c r="E23" s="140"/>
      <c r="F23" s="140">
        <v>3.37</v>
      </c>
      <c r="G23" s="140"/>
      <c r="H23" s="140"/>
      <c r="I23" s="140">
        <v>0.44</v>
      </c>
      <c r="J23" s="140"/>
      <c r="K23" s="140">
        <v>3.41</v>
      </c>
      <c r="L23" s="140"/>
      <c r="M23" s="140"/>
      <c r="N23" s="140"/>
      <c r="O23" s="139" t="s">
        <v>58</v>
      </c>
    </row>
    <row r="24" spans="1:15" x14ac:dyDescent="0.25">
      <c r="A24" s="137" t="s">
        <v>97</v>
      </c>
      <c r="B24" s="137" t="s">
        <v>28</v>
      </c>
      <c r="C24" s="138"/>
      <c r="D24" s="138">
        <v>0</v>
      </c>
      <c r="E24" s="138"/>
      <c r="F24" s="138">
        <v>0.9</v>
      </c>
      <c r="G24" s="138"/>
      <c r="H24" s="138"/>
      <c r="I24" s="138">
        <v>0</v>
      </c>
      <c r="J24" s="138"/>
      <c r="K24" s="138">
        <v>0.86</v>
      </c>
      <c r="L24" s="138"/>
      <c r="M24" s="138"/>
      <c r="N24" s="138"/>
      <c r="O24" s="137" t="s">
        <v>58</v>
      </c>
    </row>
    <row r="25" spans="1:15" x14ac:dyDescent="0.25">
      <c r="A25" s="139" t="s">
        <v>214</v>
      </c>
      <c r="B25" s="139" t="s">
        <v>28</v>
      </c>
      <c r="C25" s="140"/>
      <c r="D25" s="140">
        <v>11.21</v>
      </c>
      <c r="E25" s="140"/>
      <c r="F25" s="140">
        <v>0.33</v>
      </c>
      <c r="G25" s="140"/>
      <c r="H25" s="140"/>
      <c r="I25" s="140">
        <v>3.74</v>
      </c>
      <c r="J25" s="140"/>
      <c r="K25" s="140">
        <v>0.33</v>
      </c>
      <c r="L25" s="140"/>
      <c r="M25" s="140"/>
      <c r="N25" s="140"/>
      <c r="O25" s="139" t="s">
        <v>56</v>
      </c>
    </row>
    <row r="26" spans="1:15" x14ac:dyDescent="0.25">
      <c r="A26" s="137" t="s">
        <v>87</v>
      </c>
      <c r="B26" s="137" t="s">
        <v>28</v>
      </c>
      <c r="C26" s="138"/>
      <c r="D26" s="138">
        <v>7.88</v>
      </c>
      <c r="E26" s="138"/>
      <c r="F26" s="138">
        <v>1.22</v>
      </c>
      <c r="G26" s="138"/>
      <c r="H26" s="138"/>
      <c r="I26" s="138">
        <v>3.04</v>
      </c>
      <c r="J26" s="138"/>
      <c r="K26" s="138">
        <v>1.21</v>
      </c>
      <c r="L26" s="138"/>
      <c r="M26" s="138"/>
      <c r="N26" s="138"/>
      <c r="O26" s="137" t="s">
        <v>58</v>
      </c>
    </row>
    <row r="27" spans="1:15" x14ac:dyDescent="0.25">
      <c r="A27" s="139" t="s">
        <v>91</v>
      </c>
      <c r="B27" s="139" t="s">
        <v>28</v>
      </c>
      <c r="C27" s="140"/>
      <c r="D27" s="140">
        <v>0.01</v>
      </c>
      <c r="E27" s="140"/>
      <c r="F27" s="140">
        <v>0.34</v>
      </c>
      <c r="G27" s="140"/>
      <c r="H27" s="140"/>
      <c r="I27" s="140">
        <v>0</v>
      </c>
      <c r="J27" s="140"/>
      <c r="K27" s="140">
        <v>0.34</v>
      </c>
      <c r="L27" s="140"/>
      <c r="M27" s="140"/>
      <c r="N27" s="140"/>
      <c r="O27" s="139" t="s">
        <v>56</v>
      </c>
    </row>
    <row r="28" spans="1:15" x14ac:dyDescent="0.25">
      <c r="A28" s="137" t="s">
        <v>95</v>
      </c>
      <c r="B28" s="137" t="s">
        <v>28</v>
      </c>
      <c r="C28" s="138"/>
      <c r="D28" s="138">
        <v>2.82</v>
      </c>
      <c r="E28" s="138"/>
      <c r="F28" s="138">
        <v>0.28999999999999998</v>
      </c>
      <c r="G28" s="138"/>
      <c r="H28" s="138"/>
      <c r="I28" s="138">
        <v>0.86</v>
      </c>
      <c r="J28" s="138"/>
      <c r="K28" s="138">
        <v>0.28999999999999998</v>
      </c>
      <c r="L28" s="138"/>
      <c r="M28" s="138"/>
      <c r="N28" s="138"/>
      <c r="O28" s="137" t="s">
        <v>56</v>
      </c>
    </row>
    <row r="29" spans="1:15" x14ac:dyDescent="0.25">
      <c r="A29" s="139" t="s">
        <v>215</v>
      </c>
      <c r="B29" s="139" t="s">
        <v>28</v>
      </c>
      <c r="C29" s="140"/>
      <c r="D29" s="140">
        <v>0.01</v>
      </c>
      <c r="E29" s="140"/>
      <c r="F29" s="140">
        <v>9.39</v>
      </c>
      <c r="G29" s="140"/>
      <c r="H29" s="140"/>
      <c r="I29" s="140">
        <v>0</v>
      </c>
      <c r="J29" s="140"/>
      <c r="K29" s="140">
        <v>9.39</v>
      </c>
      <c r="L29" s="140"/>
      <c r="M29" s="140"/>
      <c r="N29" s="140"/>
      <c r="O29" s="139" t="s">
        <v>165</v>
      </c>
    </row>
    <row r="30" spans="1:15" x14ac:dyDescent="0.25">
      <c r="A30" s="137" t="s">
        <v>69</v>
      </c>
      <c r="B30" s="137" t="s">
        <v>28</v>
      </c>
      <c r="C30" s="138"/>
      <c r="D30" s="138">
        <v>0.01</v>
      </c>
      <c r="E30" s="138"/>
      <c r="F30" s="138">
        <v>6.63</v>
      </c>
      <c r="G30" s="138"/>
      <c r="H30" s="138"/>
      <c r="I30" s="138">
        <v>0.01</v>
      </c>
      <c r="J30" s="138"/>
      <c r="K30" s="138">
        <v>6.63</v>
      </c>
      <c r="L30" s="138"/>
      <c r="M30" s="138"/>
      <c r="N30" s="138"/>
      <c r="O30" s="137" t="s">
        <v>61</v>
      </c>
    </row>
    <row r="31" spans="1:15" x14ac:dyDescent="0.25">
      <c r="A31" s="139" t="s">
        <v>69</v>
      </c>
      <c r="B31" s="139" t="s">
        <v>28</v>
      </c>
      <c r="C31" s="140"/>
      <c r="D31" s="140">
        <v>0.01</v>
      </c>
      <c r="E31" s="140"/>
      <c r="F31" s="140">
        <v>2.46</v>
      </c>
      <c r="G31" s="140"/>
      <c r="H31" s="140"/>
      <c r="I31" s="140">
        <v>0.03</v>
      </c>
      <c r="J31" s="140"/>
      <c r="K31" s="140">
        <v>2.46</v>
      </c>
      <c r="L31" s="140"/>
      <c r="M31" s="140"/>
      <c r="N31" s="140"/>
      <c r="O31" s="139" t="s">
        <v>58</v>
      </c>
    </row>
    <row r="32" spans="1:15" x14ac:dyDescent="0.25">
      <c r="A32" s="137" t="s">
        <v>69</v>
      </c>
      <c r="B32" s="137" t="s">
        <v>28</v>
      </c>
      <c r="C32" s="138"/>
      <c r="D32" s="138">
        <v>0.18</v>
      </c>
      <c r="E32" s="138"/>
      <c r="F32" s="138">
        <v>4.47</v>
      </c>
      <c r="G32" s="138"/>
      <c r="H32" s="138"/>
      <c r="I32" s="138">
        <v>0.13</v>
      </c>
      <c r="J32" s="138"/>
      <c r="K32" s="138">
        <v>4.47</v>
      </c>
      <c r="L32" s="138"/>
      <c r="M32" s="138"/>
      <c r="N32" s="138"/>
      <c r="O32" s="137" t="s">
        <v>57</v>
      </c>
    </row>
    <row r="33" spans="1:15" x14ac:dyDescent="0.25">
      <c r="A33" s="139" t="s">
        <v>89</v>
      </c>
      <c r="B33" s="139" t="s">
        <v>28</v>
      </c>
      <c r="C33" s="140"/>
      <c r="D33" s="140"/>
      <c r="E33" s="140"/>
      <c r="F33" s="140"/>
      <c r="G33" s="140"/>
      <c r="H33" s="140"/>
      <c r="I33" s="140">
        <v>0</v>
      </c>
      <c r="J33" s="140"/>
      <c r="K33" s="140">
        <v>1.88</v>
      </c>
      <c r="L33" s="140"/>
      <c r="M33" s="140"/>
      <c r="N33" s="140"/>
      <c r="O33" s="139" t="s">
        <v>163</v>
      </c>
    </row>
    <row r="34" spans="1:15" x14ac:dyDescent="0.25">
      <c r="A34" s="137" t="s">
        <v>89</v>
      </c>
      <c r="B34" s="137" t="s">
        <v>28</v>
      </c>
      <c r="C34" s="138"/>
      <c r="D34" s="138">
        <v>0.01</v>
      </c>
      <c r="E34" s="138"/>
      <c r="F34" s="138">
        <v>10.35</v>
      </c>
      <c r="G34" s="138"/>
      <c r="H34" s="138"/>
      <c r="I34" s="138">
        <v>0.03</v>
      </c>
      <c r="J34" s="138"/>
      <c r="K34" s="138">
        <v>10.37</v>
      </c>
      <c r="L34" s="138"/>
      <c r="M34" s="138"/>
      <c r="N34" s="138"/>
      <c r="O34" s="137" t="s">
        <v>60</v>
      </c>
    </row>
    <row r="35" spans="1:15" x14ac:dyDescent="0.25">
      <c r="A35" s="139" t="s">
        <v>89</v>
      </c>
      <c r="B35" s="139" t="s">
        <v>28</v>
      </c>
      <c r="C35" s="140"/>
      <c r="D35" s="140">
        <v>0.5</v>
      </c>
      <c r="E35" s="140"/>
      <c r="F35" s="140">
        <v>-0.38</v>
      </c>
      <c r="G35" s="140"/>
      <c r="H35" s="140"/>
      <c r="I35" s="140">
        <v>0.14000000000000001</v>
      </c>
      <c r="J35" s="140"/>
      <c r="K35" s="140">
        <v>0.28999999999999998</v>
      </c>
      <c r="L35" s="140"/>
      <c r="M35" s="140"/>
      <c r="N35" s="140"/>
      <c r="O35" s="139" t="s">
        <v>166</v>
      </c>
    </row>
    <row r="36" spans="1:15" x14ac:dyDescent="0.25">
      <c r="A36" s="137" t="s">
        <v>89</v>
      </c>
      <c r="B36" s="137" t="s">
        <v>28</v>
      </c>
      <c r="C36" s="138"/>
      <c r="D36" s="138"/>
      <c r="E36" s="138"/>
      <c r="F36" s="138"/>
      <c r="G36" s="138"/>
      <c r="H36" s="138"/>
      <c r="I36" s="138">
        <v>0</v>
      </c>
      <c r="J36" s="138"/>
      <c r="K36" s="138">
        <v>0.35</v>
      </c>
      <c r="L36" s="138"/>
      <c r="M36" s="138"/>
      <c r="N36" s="138"/>
      <c r="O36" s="137" t="s">
        <v>62</v>
      </c>
    </row>
    <row r="37" spans="1:15" x14ac:dyDescent="0.25">
      <c r="A37" s="139" t="s">
        <v>89</v>
      </c>
      <c r="B37" s="139" t="s">
        <v>28</v>
      </c>
      <c r="C37" s="140"/>
      <c r="D37" s="140">
        <v>1.69</v>
      </c>
      <c r="E37" s="140"/>
      <c r="F37" s="140">
        <v>5.31</v>
      </c>
      <c r="G37" s="140"/>
      <c r="H37" s="140"/>
      <c r="I37" s="140">
        <v>1.1100000000000001</v>
      </c>
      <c r="J37" s="140"/>
      <c r="K37" s="140">
        <v>4.47</v>
      </c>
      <c r="L37" s="140"/>
      <c r="M37" s="140"/>
      <c r="N37" s="140"/>
      <c r="O37" s="139" t="s">
        <v>61</v>
      </c>
    </row>
    <row r="38" spans="1:15" x14ac:dyDescent="0.25">
      <c r="A38" s="137" t="s">
        <v>89</v>
      </c>
      <c r="B38" s="137" t="s">
        <v>28</v>
      </c>
      <c r="C38" s="138"/>
      <c r="D38" s="138">
        <v>2.65</v>
      </c>
      <c r="E38" s="138"/>
      <c r="F38" s="138">
        <v>0.88</v>
      </c>
      <c r="G38" s="138"/>
      <c r="H38" s="138"/>
      <c r="I38" s="138">
        <v>1.65</v>
      </c>
      <c r="J38" s="138"/>
      <c r="K38" s="138">
        <v>0.99</v>
      </c>
      <c r="L38" s="138"/>
      <c r="M38" s="138"/>
      <c r="N38" s="138"/>
      <c r="O38" s="137" t="s">
        <v>57</v>
      </c>
    </row>
    <row r="39" spans="1:15" x14ac:dyDescent="0.25">
      <c r="A39" s="139" t="s">
        <v>99</v>
      </c>
      <c r="B39" s="139" t="s">
        <v>28</v>
      </c>
      <c r="C39" s="140"/>
      <c r="D39" s="140">
        <v>0.06</v>
      </c>
      <c r="E39" s="140"/>
      <c r="F39" s="140">
        <v>3.66</v>
      </c>
      <c r="G39" s="140"/>
      <c r="H39" s="140"/>
      <c r="I39" s="140">
        <v>0.04</v>
      </c>
      <c r="J39" s="140"/>
      <c r="K39" s="140">
        <v>3.68</v>
      </c>
      <c r="L39" s="140"/>
      <c r="M39" s="140"/>
      <c r="N39" s="140"/>
      <c r="O39" s="139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6" tint="0.59999389629810485"/>
  </sheetPr>
  <dimension ref="A1:G31"/>
  <sheetViews>
    <sheetView workbookViewId="0">
      <selection activeCell="G20" sqref="G20"/>
    </sheetView>
  </sheetViews>
  <sheetFormatPr baseColWidth="10" defaultRowHeight="15" x14ac:dyDescent="0.25"/>
  <cols>
    <col min="1" max="1" width="33.28515625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</cols>
  <sheetData>
    <row r="1" spans="1:7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</row>
    <row r="2" spans="1:7" x14ac:dyDescent="0.25">
      <c r="A2" s="137" t="s">
        <v>63</v>
      </c>
      <c r="B2" s="137" t="s">
        <v>28</v>
      </c>
      <c r="C2" s="138"/>
      <c r="D2" s="138"/>
      <c r="E2" s="138"/>
      <c r="F2" s="138"/>
      <c r="G2" s="138">
        <v>1589</v>
      </c>
    </row>
    <row r="3" spans="1:7" x14ac:dyDescent="0.25">
      <c r="A3" s="139" t="s">
        <v>67</v>
      </c>
      <c r="B3" s="139" t="s">
        <v>28</v>
      </c>
      <c r="C3" s="140"/>
      <c r="D3" s="140"/>
      <c r="E3" s="140"/>
      <c r="F3" s="140"/>
      <c r="G3" s="140">
        <v>2564</v>
      </c>
    </row>
    <row r="4" spans="1:7" x14ac:dyDescent="0.25">
      <c r="A4" s="137" t="s">
        <v>83</v>
      </c>
      <c r="B4" s="137" t="s">
        <v>28</v>
      </c>
      <c r="C4" s="138"/>
      <c r="D4" s="138"/>
      <c r="E4" s="138"/>
      <c r="F4" s="138"/>
      <c r="G4" s="138">
        <v>571</v>
      </c>
    </row>
    <row r="5" spans="1:7" x14ac:dyDescent="0.25">
      <c r="A5" s="139" t="s">
        <v>95</v>
      </c>
      <c r="B5" s="139" t="s">
        <v>28</v>
      </c>
      <c r="C5" s="140"/>
      <c r="D5" s="140"/>
      <c r="E5" s="140"/>
      <c r="F5" s="140"/>
      <c r="G5" s="140">
        <v>55</v>
      </c>
    </row>
    <row r="6" spans="1:7" x14ac:dyDescent="0.25">
      <c r="A6" s="137" t="s">
        <v>97</v>
      </c>
      <c r="B6" s="137" t="s">
        <v>28</v>
      </c>
      <c r="C6" s="138"/>
      <c r="D6" s="138"/>
      <c r="E6" s="138"/>
      <c r="F6" s="138"/>
      <c r="G6" s="138">
        <v>766</v>
      </c>
    </row>
    <row r="7" spans="1:7" x14ac:dyDescent="0.25">
      <c r="A7" s="139" t="s">
        <v>216</v>
      </c>
      <c r="B7" s="139" t="s">
        <v>28</v>
      </c>
      <c r="C7" s="140"/>
      <c r="D7" s="140"/>
      <c r="E7" s="140"/>
      <c r="F7" s="140"/>
      <c r="G7" s="140">
        <v>1798</v>
      </c>
    </row>
    <row r="8" spans="1:7" x14ac:dyDescent="0.25">
      <c r="A8" s="137" t="s">
        <v>127</v>
      </c>
      <c r="B8" s="137" t="s">
        <v>28</v>
      </c>
      <c r="C8" s="138"/>
      <c r="D8" s="138"/>
      <c r="E8" s="138"/>
      <c r="F8" s="138"/>
      <c r="G8" s="138">
        <v>3790</v>
      </c>
    </row>
    <row r="9" spans="1:7" x14ac:dyDescent="0.25">
      <c r="A9" s="139" t="s">
        <v>77</v>
      </c>
      <c r="B9" s="139" t="s">
        <v>28</v>
      </c>
      <c r="C9" s="140"/>
      <c r="D9" s="140"/>
      <c r="E9" s="140"/>
      <c r="F9" s="140"/>
      <c r="G9" s="140">
        <v>3549</v>
      </c>
    </row>
    <row r="10" spans="1:7" x14ac:dyDescent="0.25">
      <c r="A10" s="137" t="s">
        <v>79</v>
      </c>
      <c r="B10" s="137" t="s">
        <v>28</v>
      </c>
      <c r="C10" s="138"/>
      <c r="D10" s="138"/>
      <c r="E10" s="138"/>
      <c r="F10" s="138"/>
      <c r="G10" s="138">
        <v>4288</v>
      </c>
    </row>
    <row r="11" spans="1:7" x14ac:dyDescent="0.25">
      <c r="A11" s="139" t="s">
        <v>217</v>
      </c>
      <c r="B11" s="139" t="s">
        <v>28</v>
      </c>
      <c r="C11" s="140"/>
      <c r="D11" s="140"/>
      <c r="E11" s="140"/>
      <c r="F11" s="140"/>
      <c r="G11" s="140">
        <v>3994</v>
      </c>
    </row>
    <row r="12" spans="1:7" x14ac:dyDescent="0.25">
      <c r="A12" s="137" t="s">
        <v>73</v>
      </c>
      <c r="B12" s="137" t="s">
        <v>28</v>
      </c>
      <c r="C12" s="138"/>
      <c r="D12" s="138"/>
      <c r="E12" s="138"/>
      <c r="F12" s="138"/>
      <c r="G12" s="138">
        <v>965</v>
      </c>
    </row>
    <row r="13" spans="1:7" x14ac:dyDescent="0.25">
      <c r="A13" s="139" t="s">
        <v>81</v>
      </c>
      <c r="B13" s="139" t="s">
        <v>28</v>
      </c>
      <c r="C13" s="140"/>
      <c r="D13" s="140"/>
      <c r="E13" s="140"/>
      <c r="F13" s="140"/>
      <c r="G13" s="140">
        <v>2323</v>
      </c>
    </row>
    <row r="14" spans="1:7" x14ac:dyDescent="0.25">
      <c r="A14" s="137" t="s">
        <v>218</v>
      </c>
      <c r="B14" s="137" t="s">
        <v>28</v>
      </c>
      <c r="C14" s="138"/>
      <c r="D14" s="138"/>
      <c r="E14" s="138"/>
      <c r="F14" s="138"/>
      <c r="G14" s="138">
        <v>1111</v>
      </c>
    </row>
    <row r="15" spans="1:7" x14ac:dyDescent="0.25">
      <c r="A15" s="139" t="s">
        <v>40</v>
      </c>
      <c r="B15" s="139" t="s">
        <v>28</v>
      </c>
      <c r="C15" s="140"/>
      <c r="D15" s="140"/>
      <c r="E15" s="140"/>
      <c r="F15" s="140"/>
      <c r="G15" s="140">
        <v>3440</v>
      </c>
    </row>
    <row r="16" spans="1:7" x14ac:dyDescent="0.25">
      <c r="A16" s="137" t="s">
        <v>172</v>
      </c>
      <c r="B16" s="137" t="s">
        <v>28</v>
      </c>
      <c r="C16" s="138"/>
      <c r="D16" s="138"/>
      <c r="E16" s="138"/>
      <c r="F16" s="138"/>
      <c r="G16" s="138"/>
    </row>
    <row r="17" spans="1:7" x14ac:dyDescent="0.25">
      <c r="A17" s="139" t="s">
        <v>65</v>
      </c>
      <c r="B17" s="139" t="s">
        <v>28</v>
      </c>
      <c r="C17" s="140"/>
      <c r="D17" s="140"/>
      <c r="E17" s="140"/>
      <c r="F17" s="140"/>
      <c r="G17" s="140">
        <v>1218</v>
      </c>
    </row>
    <row r="18" spans="1:7" x14ac:dyDescent="0.25">
      <c r="A18" s="137" t="s">
        <v>85</v>
      </c>
      <c r="B18" s="137" t="s">
        <v>28</v>
      </c>
      <c r="C18" s="138"/>
      <c r="D18" s="138"/>
      <c r="E18" s="138"/>
      <c r="F18" s="138"/>
      <c r="G18" s="138">
        <v>3342</v>
      </c>
    </row>
    <row r="19" spans="1:7" x14ac:dyDescent="0.25">
      <c r="A19" s="139" t="s">
        <v>91</v>
      </c>
      <c r="B19" s="139" t="s">
        <v>28</v>
      </c>
      <c r="C19" s="140"/>
      <c r="D19" s="140"/>
      <c r="E19" s="140"/>
      <c r="F19" s="140"/>
      <c r="G19" s="140">
        <v>68</v>
      </c>
    </row>
    <row r="20" spans="1:7" x14ac:dyDescent="0.25">
      <c r="A20" s="137" t="s">
        <v>43</v>
      </c>
      <c r="B20" s="137" t="s">
        <v>28</v>
      </c>
      <c r="C20" s="138"/>
      <c r="D20" s="138"/>
      <c r="E20" s="138"/>
      <c r="F20" s="138"/>
      <c r="G20" s="138">
        <v>3325</v>
      </c>
    </row>
    <row r="21" spans="1:7" x14ac:dyDescent="0.25">
      <c r="A21" s="139" t="s">
        <v>71</v>
      </c>
      <c r="B21" s="139" t="s">
        <v>28</v>
      </c>
      <c r="C21" s="140"/>
      <c r="D21" s="140"/>
      <c r="E21" s="140"/>
      <c r="F21" s="140"/>
      <c r="G21" s="140">
        <v>2294</v>
      </c>
    </row>
    <row r="22" spans="1:7" x14ac:dyDescent="0.25">
      <c r="A22" s="137" t="s">
        <v>153</v>
      </c>
      <c r="B22" s="137" t="s">
        <v>28</v>
      </c>
      <c r="C22" s="138"/>
      <c r="D22" s="138"/>
      <c r="E22" s="138"/>
      <c r="F22" s="138"/>
      <c r="G22" s="138">
        <v>2107</v>
      </c>
    </row>
    <row r="23" spans="1:7" x14ac:dyDescent="0.25">
      <c r="A23" s="139" t="s">
        <v>75</v>
      </c>
      <c r="B23" s="139" t="s">
        <v>28</v>
      </c>
      <c r="C23" s="140"/>
      <c r="D23" s="140"/>
      <c r="E23" s="140"/>
      <c r="F23" s="140"/>
      <c r="G23" s="140">
        <v>4167</v>
      </c>
    </row>
    <row r="24" spans="1:7" x14ac:dyDescent="0.25">
      <c r="A24" s="137" t="s">
        <v>87</v>
      </c>
      <c r="B24" s="137" t="s">
        <v>28</v>
      </c>
      <c r="C24" s="138"/>
      <c r="D24" s="138"/>
      <c r="E24" s="138"/>
      <c r="F24" s="138"/>
      <c r="G24" s="138">
        <v>214</v>
      </c>
    </row>
    <row r="25" spans="1:7" x14ac:dyDescent="0.25">
      <c r="A25" s="139" t="s">
        <v>93</v>
      </c>
      <c r="B25" s="139" t="s">
        <v>28</v>
      </c>
      <c r="C25" s="140"/>
      <c r="D25" s="140"/>
      <c r="E25" s="140"/>
      <c r="F25" s="140"/>
      <c r="G25" s="140">
        <v>1461</v>
      </c>
    </row>
    <row r="26" spans="1:7" x14ac:dyDescent="0.25">
      <c r="A26" s="137" t="s">
        <v>48</v>
      </c>
      <c r="B26" s="137" t="s">
        <v>28</v>
      </c>
      <c r="C26" s="138"/>
      <c r="D26" s="138"/>
      <c r="E26" s="138"/>
      <c r="F26" s="138"/>
      <c r="G26" s="138">
        <v>1336</v>
      </c>
    </row>
    <row r="27" spans="1:7" x14ac:dyDescent="0.25">
      <c r="A27" s="139" t="s">
        <v>69</v>
      </c>
      <c r="B27" s="139" t="s">
        <v>28</v>
      </c>
      <c r="C27" s="140"/>
      <c r="D27" s="140"/>
      <c r="E27" s="140"/>
      <c r="F27" s="140"/>
      <c r="G27" s="140">
        <v>2658</v>
      </c>
    </row>
    <row r="28" spans="1:7" x14ac:dyDescent="0.25">
      <c r="A28" s="137" t="s">
        <v>89</v>
      </c>
      <c r="B28" s="137" t="s">
        <v>28</v>
      </c>
      <c r="C28" s="138"/>
      <c r="D28" s="138"/>
      <c r="E28" s="138"/>
      <c r="F28" s="138"/>
      <c r="G28" s="138">
        <v>1647</v>
      </c>
    </row>
    <row r="29" spans="1:7" x14ac:dyDescent="0.25">
      <c r="A29" s="139" t="s">
        <v>99</v>
      </c>
      <c r="B29" s="139" t="s">
        <v>28</v>
      </c>
      <c r="C29" s="140"/>
      <c r="D29" s="140"/>
      <c r="E29" s="140"/>
      <c r="F29" s="140"/>
      <c r="G29" s="140">
        <v>2016</v>
      </c>
    </row>
    <row r="30" spans="1:7" x14ac:dyDescent="0.25">
      <c r="A30" s="137" t="s">
        <v>52</v>
      </c>
      <c r="B30" s="137" t="s">
        <v>28</v>
      </c>
      <c r="C30" s="138"/>
      <c r="D30" s="138"/>
      <c r="E30" s="138"/>
      <c r="F30" s="138"/>
      <c r="G30" s="138">
        <v>1690</v>
      </c>
    </row>
    <row r="31" spans="1:7" x14ac:dyDescent="0.25">
      <c r="A31" s="139" t="s">
        <v>141</v>
      </c>
      <c r="B31" s="139" t="s">
        <v>28</v>
      </c>
      <c r="C31" s="140"/>
      <c r="D31" s="140"/>
      <c r="E31" s="140"/>
      <c r="F31" s="140"/>
      <c r="G31" s="140">
        <v>2485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6" tint="0.59999389629810485"/>
  </sheetPr>
  <dimension ref="A1:K577"/>
  <sheetViews>
    <sheetView workbookViewId="0">
      <selection activeCell="F14" sqref="F14"/>
    </sheetView>
  </sheetViews>
  <sheetFormatPr baseColWidth="10" defaultRowHeight="15" x14ac:dyDescent="0.25"/>
  <cols>
    <col min="1" max="1" width="25.42578125" bestFit="1" customWidth="1"/>
    <col min="2" max="2" width="23.85546875" bestFit="1" customWidth="1"/>
    <col min="3" max="3" width="10" bestFit="1" customWidth="1"/>
    <col min="4" max="4" width="30.42578125" bestFit="1" customWidth="1"/>
    <col min="5" max="5" width="8.85546875" bestFit="1" customWidth="1"/>
    <col min="6" max="7" width="20.140625" bestFit="1" customWidth="1"/>
    <col min="8" max="8" width="10.7109375" bestFit="1" customWidth="1"/>
    <col min="9" max="9" width="63" bestFit="1" customWidth="1"/>
    <col min="10" max="11" width="19.5703125" style="196" bestFit="1" customWidth="1"/>
  </cols>
  <sheetData>
    <row r="1" spans="1:11" x14ac:dyDescent="0.25">
      <c r="A1" s="141" t="s">
        <v>338</v>
      </c>
      <c r="B1" s="141" t="s">
        <v>339</v>
      </c>
      <c r="C1" s="141" t="s">
        <v>340</v>
      </c>
      <c r="D1" s="141" t="s">
        <v>341</v>
      </c>
      <c r="E1" s="141" t="s">
        <v>342</v>
      </c>
      <c r="F1" s="141" t="s">
        <v>343</v>
      </c>
      <c r="G1" s="141" t="s">
        <v>344</v>
      </c>
      <c r="H1" s="141" t="s">
        <v>345</v>
      </c>
      <c r="I1" s="192" t="s">
        <v>346</v>
      </c>
      <c r="J1" s="195" t="s">
        <v>383</v>
      </c>
      <c r="K1" s="195" t="s">
        <v>387</v>
      </c>
    </row>
    <row r="2" spans="1:11" x14ac:dyDescent="0.25">
      <c r="A2" s="137" t="s">
        <v>347</v>
      </c>
      <c r="B2" s="137" t="s">
        <v>348</v>
      </c>
      <c r="C2" s="138">
        <v>1</v>
      </c>
      <c r="D2" s="137" t="s">
        <v>318</v>
      </c>
      <c r="E2" s="137" t="s">
        <v>28</v>
      </c>
      <c r="F2" s="138">
        <v>2581.4499999999998</v>
      </c>
      <c r="G2" s="138">
        <v>13594.65</v>
      </c>
      <c r="H2" s="137" t="s">
        <v>349</v>
      </c>
      <c r="I2" s="193" t="s">
        <v>350</v>
      </c>
      <c r="J2" s="196" t="str">
        <f>+IF(D2="WNMC","Compra",IF(D2="WNMV","Venta",IF(D2="WEMC","Compra",IF(D2="WEMV","Venta",IF(D2="WENV","Venta",IF(D2="WENC","Compra",J1))))))</f>
        <v>Compra</v>
      </c>
      <c r="K2" s="196" t="str">
        <f t="shared" ref="K2:K66" si="0">+IF(D2="WNMC","NO",IF(D2="WNMV","NO",IF(D2="WEMC","NO",IF(D2="WEMV","NO",IF(D2="WENV","NO",IF(D2="WENC","NO","SI"))))))</f>
        <v>NO</v>
      </c>
    </row>
    <row r="3" spans="1:11" x14ac:dyDescent="0.25">
      <c r="A3" s="139" t="s">
        <v>347</v>
      </c>
      <c r="B3" s="139" t="s">
        <v>348</v>
      </c>
      <c r="C3" s="140">
        <v>2</v>
      </c>
      <c r="D3" s="139" t="s">
        <v>351</v>
      </c>
      <c r="E3" s="139" t="s">
        <v>28</v>
      </c>
      <c r="F3" s="140">
        <v>2581.4499999999998</v>
      </c>
      <c r="G3" s="140">
        <v>13594.65</v>
      </c>
      <c r="H3" s="139" t="s">
        <v>349</v>
      </c>
      <c r="I3" s="194" t="s">
        <v>350</v>
      </c>
      <c r="J3" s="196" t="str">
        <f t="shared" ref="J3:J66" si="1">+IF(D3="WNMC","Compra",IF(D3="WNMV","Venta",IF(D3="WEMC","Compra",IF(D3="WEMV","Venta",IF(D3="WENV","Venta",IF(D3="WENC","Compra",J2))))))</f>
        <v>Compra</v>
      </c>
      <c r="K3" s="196" t="str">
        <f t="shared" si="0"/>
        <v>SI</v>
      </c>
    </row>
    <row r="4" spans="1:11" x14ac:dyDescent="0.25">
      <c r="A4" s="137" t="s">
        <v>347</v>
      </c>
      <c r="B4" s="137" t="s">
        <v>348</v>
      </c>
      <c r="C4" s="138">
        <v>3</v>
      </c>
      <c r="D4" s="137" t="s">
        <v>320</v>
      </c>
      <c r="E4" s="137" t="s">
        <v>28</v>
      </c>
      <c r="F4" s="138">
        <v>4137.3</v>
      </c>
      <c r="G4" s="138">
        <v>19748.689999999999</v>
      </c>
      <c r="H4" s="137" t="s">
        <v>349</v>
      </c>
      <c r="I4" s="193" t="s">
        <v>350</v>
      </c>
      <c r="J4" s="196" t="str">
        <f t="shared" si="1"/>
        <v>Venta</v>
      </c>
      <c r="K4" s="196" t="str">
        <f t="shared" si="0"/>
        <v>NO</v>
      </c>
    </row>
    <row r="5" spans="1:11" x14ac:dyDescent="0.25">
      <c r="A5" s="139" t="s">
        <v>347</v>
      </c>
      <c r="B5" s="139" t="s">
        <v>348</v>
      </c>
      <c r="C5" s="140">
        <v>4</v>
      </c>
      <c r="D5" s="139" t="s">
        <v>351</v>
      </c>
      <c r="E5" s="139" t="s">
        <v>28</v>
      </c>
      <c r="F5" s="140">
        <v>4137.3</v>
      </c>
      <c r="G5" s="140">
        <v>19648.689999999999</v>
      </c>
      <c r="H5" s="139" t="s">
        <v>349</v>
      </c>
      <c r="I5" s="194" t="s">
        <v>350</v>
      </c>
      <c r="J5" s="196" t="str">
        <f t="shared" si="1"/>
        <v>Venta</v>
      </c>
      <c r="K5" s="196" t="str">
        <f t="shared" si="0"/>
        <v>SI</v>
      </c>
    </row>
    <row r="6" spans="1:11" x14ac:dyDescent="0.25">
      <c r="A6" s="137" t="s">
        <v>347</v>
      </c>
      <c r="B6" s="137" t="s">
        <v>348</v>
      </c>
      <c r="C6" s="138">
        <v>5</v>
      </c>
      <c r="D6" s="137" t="s">
        <v>352</v>
      </c>
      <c r="E6" s="137" t="s">
        <v>28</v>
      </c>
      <c r="F6" s="138"/>
      <c r="G6" s="138">
        <v>100</v>
      </c>
      <c r="H6" s="137" t="s">
        <v>349</v>
      </c>
      <c r="I6" s="193" t="s">
        <v>350</v>
      </c>
      <c r="J6" s="196" t="str">
        <f t="shared" si="1"/>
        <v>Venta</v>
      </c>
      <c r="K6" s="196" t="str">
        <f t="shared" si="0"/>
        <v>SI</v>
      </c>
    </row>
    <row r="7" spans="1:11" x14ac:dyDescent="0.25">
      <c r="A7" s="139" t="s">
        <v>352</v>
      </c>
      <c r="B7" s="139" t="s">
        <v>348</v>
      </c>
      <c r="C7" s="140">
        <v>6</v>
      </c>
      <c r="D7" s="139" t="s">
        <v>318</v>
      </c>
      <c r="E7" s="139" t="s">
        <v>28</v>
      </c>
      <c r="F7" s="140">
        <v>3183.14</v>
      </c>
      <c r="G7" s="140">
        <v>10757.02</v>
      </c>
      <c r="H7" s="139" t="s">
        <v>349</v>
      </c>
      <c r="I7" s="194" t="s">
        <v>350</v>
      </c>
      <c r="J7" s="196" t="str">
        <f t="shared" si="1"/>
        <v>Compra</v>
      </c>
      <c r="K7" s="196" t="str">
        <f t="shared" si="0"/>
        <v>NO</v>
      </c>
    </row>
    <row r="8" spans="1:11" x14ac:dyDescent="0.25">
      <c r="A8" s="137" t="s">
        <v>352</v>
      </c>
      <c r="B8" s="137" t="s">
        <v>348</v>
      </c>
      <c r="C8" s="138">
        <v>7</v>
      </c>
      <c r="D8" s="137" t="s">
        <v>351</v>
      </c>
      <c r="E8" s="137" t="s">
        <v>28</v>
      </c>
      <c r="F8" s="138">
        <v>3183.14</v>
      </c>
      <c r="G8" s="138">
        <v>10757.02</v>
      </c>
      <c r="H8" s="137" t="s">
        <v>349</v>
      </c>
      <c r="I8" s="193" t="s">
        <v>350</v>
      </c>
      <c r="J8" s="196" t="str">
        <f t="shared" si="1"/>
        <v>Compra</v>
      </c>
      <c r="K8" s="196" t="str">
        <f t="shared" si="0"/>
        <v>SI</v>
      </c>
    </row>
    <row r="9" spans="1:11" x14ac:dyDescent="0.25">
      <c r="A9" s="139" t="s">
        <v>352</v>
      </c>
      <c r="B9" s="139" t="s">
        <v>348</v>
      </c>
      <c r="C9" s="140">
        <v>8</v>
      </c>
      <c r="D9" s="139" t="s">
        <v>320</v>
      </c>
      <c r="E9" s="139" t="s">
        <v>28</v>
      </c>
      <c r="F9" s="140">
        <v>791.41</v>
      </c>
      <c r="G9" s="140">
        <v>2046.76</v>
      </c>
      <c r="H9" s="139" t="s">
        <v>349</v>
      </c>
      <c r="I9" s="194" t="s">
        <v>350</v>
      </c>
      <c r="J9" s="196" t="str">
        <f t="shared" si="1"/>
        <v>Venta</v>
      </c>
      <c r="K9" s="196" t="str">
        <f t="shared" si="0"/>
        <v>NO</v>
      </c>
    </row>
    <row r="10" spans="1:11" x14ac:dyDescent="0.25">
      <c r="A10" s="137" t="s">
        <v>352</v>
      </c>
      <c r="B10" s="137" t="s">
        <v>348</v>
      </c>
      <c r="C10" s="138">
        <v>9</v>
      </c>
      <c r="D10" s="137" t="s">
        <v>351</v>
      </c>
      <c r="E10" s="137" t="s">
        <v>28</v>
      </c>
      <c r="F10" s="138">
        <v>791.41</v>
      </c>
      <c r="G10" s="138">
        <v>2046.76</v>
      </c>
      <c r="H10" s="137" t="s">
        <v>349</v>
      </c>
      <c r="I10" s="193" t="s">
        <v>350</v>
      </c>
      <c r="J10" s="196" t="str">
        <f t="shared" si="1"/>
        <v>Venta</v>
      </c>
      <c r="K10" s="196" t="str">
        <f t="shared" si="0"/>
        <v>SI</v>
      </c>
    </row>
    <row r="11" spans="1:11" x14ac:dyDescent="0.25">
      <c r="A11" s="139" t="s">
        <v>353</v>
      </c>
      <c r="B11" s="139" t="s">
        <v>348</v>
      </c>
      <c r="C11" s="140">
        <v>10</v>
      </c>
      <c r="D11" s="139" t="s">
        <v>320</v>
      </c>
      <c r="E11" s="139" t="s">
        <v>28</v>
      </c>
      <c r="F11" s="140"/>
      <c r="G11" s="140">
        <v>60.49</v>
      </c>
      <c r="H11" s="139" t="s">
        <v>349</v>
      </c>
      <c r="I11" s="194" t="s">
        <v>350</v>
      </c>
      <c r="J11" s="196" t="str">
        <f t="shared" si="1"/>
        <v>Venta</v>
      </c>
      <c r="K11" s="196" t="str">
        <f t="shared" si="0"/>
        <v>NO</v>
      </c>
    </row>
    <row r="12" spans="1:11" x14ac:dyDescent="0.25">
      <c r="A12" s="137" t="s">
        <v>353</v>
      </c>
      <c r="B12" s="137" t="s">
        <v>348</v>
      </c>
      <c r="C12" s="138">
        <v>11</v>
      </c>
      <c r="D12" s="137" t="s">
        <v>351</v>
      </c>
      <c r="E12" s="137" t="s">
        <v>28</v>
      </c>
      <c r="F12" s="138"/>
      <c r="G12" s="138">
        <v>60.49</v>
      </c>
      <c r="H12" s="137" t="s">
        <v>349</v>
      </c>
      <c r="I12" s="193" t="s">
        <v>350</v>
      </c>
      <c r="J12" s="196" t="str">
        <f t="shared" si="1"/>
        <v>Venta</v>
      </c>
      <c r="K12" s="196" t="str">
        <f t="shared" si="0"/>
        <v>SI</v>
      </c>
    </row>
    <row r="13" spans="1:11" x14ac:dyDescent="0.25">
      <c r="A13" s="139" t="s">
        <v>354</v>
      </c>
      <c r="B13" s="139" t="s">
        <v>348</v>
      </c>
      <c r="C13" s="140">
        <v>12</v>
      </c>
      <c r="D13" s="139" t="s">
        <v>318</v>
      </c>
      <c r="E13" s="139" t="s">
        <v>28</v>
      </c>
      <c r="F13" s="140"/>
      <c r="G13" s="140">
        <v>67.709999999999994</v>
      </c>
      <c r="H13" s="139" t="s">
        <v>349</v>
      </c>
      <c r="I13" s="194" t="s">
        <v>350</v>
      </c>
      <c r="J13" s="196" t="str">
        <f t="shared" si="1"/>
        <v>Compra</v>
      </c>
      <c r="K13" s="196" t="str">
        <f t="shared" si="0"/>
        <v>NO</v>
      </c>
    </row>
    <row r="14" spans="1:11" x14ac:dyDescent="0.25">
      <c r="A14" s="137" t="s">
        <v>354</v>
      </c>
      <c r="B14" s="137" t="s">
        <v>348</v>
      </c>
      <c r="C14" s="138">
        <v>13</v>
      </c>
      <c r="D14" s="137" t="s">
        <v>351</v>
      </c>
      <c r="E14" s="137" t="s">
        <v>28</v>
      </c>
      <c r="F14" s="138"/>
      <c r="G14" s="138">
        <v>67.709999999999994</v>
      </c>
      <c r="H14" s="137" t="s">
        <v>349</v>
      </c>
      <c r="I14" s="193" t="s">
        <v>350</v>
      </c>
      <c r="J14" s="196" t="str">
        <f t="shared" si="1"/>
        <v>Compra</v>
      </c>
      <c r="K14" s="196" t="str">
        <f t="shared" si="0"/>
        <v>SI</v>
      </c>
    </row>
    <row r="15" spans="1:11" x14ac:dyDescent="0.25">
      <c r="A15" s="139" t="s">
        <v>354</v>
      </c>
      <c r="B15" s="139" t="s">
        <v>348</v>
      </c>
      <c r="C15" s="140">
        <v>14</v>
      </c>
      <c r="D15" s="139" t="s">
        <v>320</v>
      </c>
      <c r="E15" s="139" t="s">
        <v>28</v>
      </c>
      <c r="F15" s="140">
        <v>2.61</v>
      </c>
      <c r="G15" s="140">
        <v>415.37</v>
      </c>
      <c r="H15" s="139" t="s">
        <v>349</v>
      </c>
      <c r="I15" s="194" t="s">
        <v>350</v>
      </c>
      <c r="J15" s="196" t="str">
        <f t="shared" si="1"/>
        <v>Venta</v>
      </c>
      <c r="K15" s="196" t="str">
        <f t="shared" si="0"/>
        <v>NO</v>
      </c>
    </row>
    <row r="16" spans="1:11" x14ac:dyDescent="0.25">
      <c r="A16" s="137" t="s">
        <v>354</v>
      </c>
      <c r="B16" s="137" t="s">
        <v>348</v>
      </c>
      <c r="C16" s="138">
        <v>15</v>
      </c>
      <c r="D16" s="137" t="s">
        <v>351</v>
      </c>
      <c r="E16" s="137" t="s">
        <v>28</v>
      </c>
      <c r="F16" s="138">
        <v>2.61</v>
      </c>
      <c r="G16" s="138">
        <v>415.37</v>
      </c>
      <c r="H16" s="137" t="s">
        <v>349</v>
      </c>
      <c r="I16" s="193" t="s">
        <v>350</v>
      </c>
      <c r="J16" s="196" t="str">
        <f t="shared" si="1"/>
        <v>Venta</v>
      </c>
      <c r="K16" s="196" t="str">
        <f t="shared" si="0"/>
        <v>SI</v>
      </c>
    </row>
    <row r="17" spans="1:11" x14ac:dyDescent="0.25">
      <c r="A17" s="139" t="s">
        <v>355</v>
      </c>
      <c r="B17" s="139" t="s">
        <v>348</v>
      </c>
      <c r="C17" s="140">
        <v>16</v>
      </c>
      <c r="D17" s="139" t="s">
        <v>320</v>
      </c>
      <c r="E17" s="139" t="s">
        <v>28</v>
      </c>
      <c r="F17" s="140">
        <v>8.0399999999999991</v>
      </c>
      <c r="G17" s="140">
        <v>34.03</v>
      </c>
      <c r="H17" s="139" t="s">
        <v>349</v>
      </c>
      <c r="I17" s="194" t="s">
        <v>350</v>
      </c>
      <c r="J17" s="196" t="str">
        <f t="shared" si="1"/>
        <v>Venta</v>
      </c>
      <c r="K17" s="196" t="str">
        <f t="shared" si="0"/>
        <v>NO</v>
      </c>
    </row>
    <row r="18" spans="1:11" x14ac:dyDescent="0.25">
      <c r="A18" s="137" t="s">
        <v>355</v>
      </c>
      <c r="B18" s="137" t="s">
        <v>348</v>
      </c>
      <c r="C18" s="138">
        <v>17</v>
      </c>
      <c r="D18" s="137" t="s">
        <v>351</v>
      </c>
      <c r="E18" s="137" t="s">
        <v>28</v>
      </c>
      <c r="F18" s="138">
        <v>8.0399999999999991</v>
      </c>
      <c r="G18" s="138">
        <v>34.03</v>
      </c>
      <c r="H18" s="137" t="s">
        <v>349</v>
      </c>
      <c r="I18" s="193" t="s">
        <v>350</v>
      </c>
      <c r="J18" s="196" t="str">
        <f t="shared" si="1"/>
        <v>Venta</v>
      </c>
      <c r="K18" s="196" t="str">
        <f t="shared" si="0"/>
        <v>SI</v>
      </c>
    </row>
    <row r="19" spans="1:11" x14ac:dyDescent="0.25">
      <c r="A19" s="139" t="s">
        <v>347</v>
      </c>
      <c r="B19" s="139" t="s">
        <v>348</v>
      </c>
      <c r="C19" s="140">
        <v>1</v>
      </c>
      <c r="D19" s="139" t="s">
        <v>311</v>
      </c>
      <c r="E19" s="139" t="s">
        <v>28</v>
      </c>
      <c r="F19" s="140">
        <v>378.08</v>
      </c>
      <c r="G19" s="140">
        <v>3812.19</v>
      </c>
      <c r="H19" s="139" t="s">
        <v>349</v>
      </c>
      <c r="I19" s="194" t="s">
        <v>350</v>
      </c>
      <c r="J19" s="196" t="str">
        <f t="shared" si="1"/>
        <v>Compra</v>
      </c>
      <c r="K19" s="196" t="str">
        <f t="shared" si="0"/>
        <v>NO</v>
      </c>
    </row>
    <row r="20" spans="1:11" x14ac:dyDescent="0.25">
      <c r="A20" s="137" t="s">
        <v>347</v>
      </c>
      <c r="B20" s="137" t="s">
        <v>348</v>
      </c>
      <c r="C20" s="138">
        <v>2</v>
      </c>
      <c r="D20" s="137" t="s">
        <v>356</v>
      </c>
      <c r="E20" s="137" t="s">
        <v>28</v>
      </c>
      <c r="F20" s="138"/>
      <c r="G20" s="138">
        <v>1.05</v>
      </c>
      <c r="H20" s="137" t="s">
        <v>349</v>
      </c>
      <c r="I20" s="193" t="s">
        <v>350</v>
      </c>
      <c r="J20" s="196" t="str">
        <f t="shared" si="1"/>
        <v>Compra</v>
      </c>
      <c r="K20" s="196" t="str">
        <f t="shared" si="0"/>
        <v>SI</v>
      </c>
    </row>
    <row r="21" spans="1:11" x14ac:dyDescent="0.25">
      <c r="A21" s="139" t="s">
        <v>347</v>
      </c>
      <c r="B21" s="139" t="s">
        <v>348</v>
      </c>
      <c r="C21" s="140">
        <v>3</v>
      </c>
      <c r="D21" s="139" t="s">
        <v>357</v>
      </c>
      <c r="E21" s="139" t="s">
        <v>28</v>
      </c>
      <c r="F21" s="140"/>
      <c r="G21" s="140">
        <v>69</v>
      </c>
      <c r="H21" s="139" t="s">
        <v>349</v>
      </c>
      <c r="I21" s="194" t="s">
        <v>350</v>
      </c>
      <c r="J21" s="196" t="str">
        <f t="shared" si="1"/>
        <v>Compra</v>
      </c>
      <c r="K21" s="196" t="str">
        <f t="shared" si="0"/>
        <v>SI</v>
      </c>
    </row>
    <row r="22" spans="1:11" x14ac:dyDescent="0.25">
      <c r="A22" s="137" t="s">
        <v>347</v>
      </c>
      <c r="B22" s="137" t="s">
        <v>348</v>
      </c>
      <c r="C22" s="138">
        <v>4</v>
      </c>
      <c r="D22" s="137" t="s">
        <v>358</v>
      </c>
      <c r="E22" s="137" t="s">
        <v>28</v>
      </c>
      <c r="F22" s="138">
        <v>0.09</v>
      </c>
      <c r="G22" s="138">
        <v>6.58</v>
      </c>
      <c r="H22" s="137" t="s">
        <v>349</v>
      </c>
      <c r="I22" s="193" t="s">
        <v>350</v>
      </c>
      <c r="J22" s="196" t="str">
        <f t="shared" si="1"/>
        <v>Compra</v>
      </c>
      <c r="K22" s="196" t="str">
        <f t="shared" si="0"/>
        <v>SI</v>
      </c>
    </row>
    <row r="23" spans="1:11" x14ac:dyDescent="0.25">
      <c r="A23" s="139" t="s">
        <v>347</v>
      </c>
      <c r="B23" s="139" t="s">
        <v>348</v>
      </c>
      <c r="C23" s="140">
        <v>5</v>
      </c>
      <c r="D23" s="139" t="s">
        <v>359</v>
      </c>
      <c r="E23" s="139" t="s">
        <v>28</v>
      </c>
      <c r="F23" s="140"/>
      <c r="G23" s="140">
        <v>40.71</v>
      </c>
      <c r="H23" s="139" t="s">
        <v>349</v>
      </c>
      <c r="I23" s="194" t="s">
        <v>350</v>
      </c>
      <c r="J23" s="196" t="str">
        <f t="shared" si="1"/>
        <v>Compra</v>
      </c>
      <c r="K23" s="196" t="str">
        <f t="shared" si="0"/>
        <v>SI</v>
      </c>
    </row>
    <row r="24" spans="1:11" x14ac:dyDescent="0.25">
      <c r="A24" s="137" t="s">
        <v>347</v>
      </c>
      <c r="B24" s="137" t="s">
        <v>348</v>
      </c>
      <c r="C24" s="138">
        <v>6</v>
      </c>
      <c r="D24" s="137" t="s">
        <v>360</v>
      </c>
      <c r="E24" s="137" t="s">
        <v>28</v>
      </c>
      <c r="F24" s="138"/>
      <c r="G24" s="138">
        <v>41.29</v>
      </c>
      <c r="H24" s="137" t="s">
        <v>349</v>
      </c>
      <c r="I24" s="193" t="s">
        <v>350</v>
      </c>
      <c r="J24" s="196" t="str">
        <f t="shared" si="1"/>
        <v>Compra</v>
      </c>
      <c r="K24" s="196" t="str">
        <f t="shared" si="0"/>
        <v>SI</v>
      </c>
    </row>
    <row r="25" spans="1:11" x14ac:dyDescent="0.25">
      <c r="A25" s="139" t="s">
        <v>347</v>
      </c>
      <c r="B25" s="139" t="s">
        <v>348</v>
      </c>
      <c r="C25" s="140">
        <v>7</v>
      </c>
      <c r="D25" s="139" t="s">
        <v>361</v>
      </c>
      <c r="E25" s="139" t="s">
        <v>28</v>
      </c>
      <c r="F25" s="140">
        <v>0.5</v>
      </c>
      <c r="G25" s="140">
        <v>98.48</v>
      </c>
      <c r="H25" s="139" t="s">
        <v>349</v>
      </c>
      <c r="I25" s="194" t="s">
        <v>350</v>
      </c>
      <c r="J25" s="196" t="str">
        <f t="shared" si="1"/>
        <v>Compra</v>
      </c>
      <c r="K25" s="196" t="str">
        <f t="shared" si="0"/>
        <v>SI</v>
      </c>
    </row>
    <row r="26" spans="1:11" x14ac:dyDescent="0.25">
      <c r="A26" s="137" t="s">
        <v>347</v>
      </c>
      <c r="B26" s="137" t="s">
        <v>348</v>
      </c>
      <c r="C26" s="138">
        <v>8</v>
      </c>
      <c r="D26" s="137" t="s">
        <v>362</v>
      </c>
      <c r="E26" s="137" t="s">
        <v>28</v>
      </c>
      <c r="F26" s="138"/>
      <c r="G26" s="138">
        <v>2.04</v>
      </c>
      <c r="H26" s="137" t="s">
        <v>349</v>
      </c>
      <c r="I26" s="193" t="s">
        <v>350</v>
      </c>
      <c r="J26" s="196" t="str">
        <f t="shared" si="1"/>
        <v>Compra</v>
      </c>
      <c r="K26" s="196" t="str">
        <f t="shared" si="0"/>
        <v>SI</v>
      </c>
    </row>
    <row r="27" spans="1:11" x14ac:dyDescent="0.25">
      <c r="A27" s="139" t="s">
        <v>347</v>
      </c>
      <c r="B27" s="139" t="s">
        <v>348</v>
      </c>
      <c r="C27" s="140">
        <v>9</v>
      </c>
      <c r="D27" s="139" t="s">
        <v>363</v>
      </c>
      <c r="E27" s="139" t="s">
        <v>28</v>
      </c>
      <c r="F27" s="140">
        <v>0.08</v>
      </c>
      <c r="G27" s="140">
        <v>7.75</v>
      </c>
      <c r="H27" s="139" t="s">
        <v>349</v>
      </c>
      <c r="I27" s="194" t="s">
        <v>350</v>
      </c>
      <c r="J27" s="196" t="str">
        <f t="shared" si="1"/>
        <v>Compra</v>
      </c>
      <c r="K27" s="196" t="str">
        <f t="shared" si="0"/>
        <v>SI</v>
      </c>
    </row>
    <row r="28" spans="1:11" x14ac:dyDescent="0.25">
      <c r="A28" s="137" t="s">
        <v>347</v>
      </c>
      <c r="B28" s="137" t="s">
        <v>348</v>
      </c>
      <c r="C28" s="138">
        <v>10</v>
      </c>
      <c r="D28" s="137" t="s">
        <v>364</v>
      </c>
      <c r="E28" s="137" t="s">
        <v>28</v>
      </c>
      <c r="F28" s="138"/>
      <c r="G28" s="138">
        <v>67</v>
      </c>
      <c r="H28" s="137" t="s">
        <v>349</v>
      </c>
      <c r="I28" s="193" t="s">
        <v>350</v>
      </c>
      <c r="J28" s="196" t="str">
        <f t="shared" si="1"/>
        <v>Compra</v>
      </c>
      <c r="K28" s="196" t="str">
        <f t="shared" si="0"/>
        <v>SI</v>
      </c>
    </row>
    <row r="29" spans="1:11" x14ac:dyDescent="0.25">
      <c r="A29" s="139" t="s">
        <v>347</v>
      </c>
      <c r="B29" s="139" t="s">
        <v>348</v>
      </c>
      <c r="C29" s="140">
        <v>11</v>
      </c>
      <c r="D29" s="139" t="s">
        <v>365</v>
      </c>
      <c r="E29" s="139" t="s">
        <v>28</v>
      </c>
      <c r="F29" s="140">
        <v>0.61</v>
      </c>
      <c r="G29" s="140">
        <v>30.36</v>
      </c>
      <c r="H29" s="139" t="s">
        <v>349</v>
      </c>
      <c r="I29" s="194" t="s">
        <v>350</v>
      </c>
      <c r="J29" s="196" t="str">
        <f t="shared" si="1"/>
        <v>Compra</v>
      </c>
      <c r="K29" s="196" t="str">
        <f t="shared" si="0"/>
        <v>SI</v>
      </c>
    </row>
    <row r="30" spans="1:11" x14ac:dyDescent="0.25">
      <c r="A30" s="137" t="s">
        <v>347</v>
      </c>
      <c r="B30" s="137" t="s">
        <v>348</v>
      </c>
      <c r="C30" s="138">
        <v>12</v>
      </c>
      <c r="D30" s="137" t="s">
        <v>366</v>
      </c>
      <c r="E30" s="137" t="s">
        <v>28</v>
      </c>
      <c r="F30" s="138"/>
      <c r="G30" s="138">
        <v>4</v>
      </c>
      <c r="H30" s="137" t="s">
        <v>349</v>
      </c>
      <c r="I30" s="193" t="s">
        <v>350</v>
      </c>
      <c r="J30" s="196" t="str">
        <f t="shared" si="1"/>
        <v>Compra</v>
      </c>
      <c r="K30" s="196" t="str">
        <f t="shared" si="0"/>
        <v>SI</v>
      </c>
    </row>
    <row r="31" spans="1:11" x14ac:dyDescent="0.25">
      <c r="A31" s="139" t="s">
        <v>347</v>
      </c>
      <c r="B31" s="139" t="s">
        <v>348</v>
      </c>
      <c r="C31" s="140">
        <v>13</v>
      </c>
      <c r="D31" s="139" t="s">
        <v>367</v>
      </c>
      <c r="E31" s="139" t="s">
        <v>28</v>
      </c>
      <c r="F31" s="140"/>
      <c r="G31" s="140">
        <v>55</v>
      </c>
      <c r="H31" s="139" t="s">
        <v>349</v>
      </c>
      <c r="I31" s="194" t="s">
        <v>350</v>
      </c>
      <c r="J31" s="196" t="str">
        <f t="shared" si="1"/>
        <v>Compra</v>
      </c>
      <c r="K31" s="196" t="str">
        <f t="shared" si="0"/>
        <v>SI</v>
      </c>
    </row>
    <row r="32" spans="1:11" x14ac:dyDescent="0.25">
      <c r="A32" s="137" t="s">
        <v>347</v>
      </c>
      <c r="B32" s="137" t="s">
        <v>348</v>
      </c>
      <c r="C32" s="138">
        <v>14</v>
      </c>
      <c r="D32" s="137" t="s">
        <v>355</v>
      </c>
      <c r="E32" s="137" t="s">
        <v>28</v>
      </c>
      <c r="F32" s="138">
        <v>327.7</v>
      </c>
      <c r="G32" s="138">
        <v>1114.58</v>
      </c>
      <c r="H32" s="137" t="s">
        <v>349</v>
      </c>
      <c r="I32" s="193" t="s">
        <v>350</v>
      </c>
      <c r="J32" s="196" t="str">
        <f t="shared" si="1"/>
        <v>Compra</v>
      </c>
      <c r="K32" s="196" t="str">
        <f t="shared" si="0"/>
        <v>SI</v>
      </c>
    </row>
    <row r="33" spans="1:11" x14ac:dyDescent="0.25">
      <c r="A33" s="139" t="s">
        <v>347</v>
      </c>
      <c r="B33" s="139" t="s">
        <v>348</v>
      </c>
      <c r="C33" s="140">
        <v>15</v>
      </c>
      <c r="D33" s="139" t="s">
        <v>368</v>
      </c>
      <c r="E33" s="139" t="s">
        <v>28</v>
      </c>
      <c r="F33" s="140">
        <v>0.28999999999999998</v>
      </c>
      <c r="G33" s="140">
        <v>132.63999999999999</v>
      </c>
      <c r="H33" s="139" t="s">
        <v>349</v>
      </c>
      <c r="I33" s="194" t="s">
        <v>350</v>
      </c>
      <c r="J33" s="196" t="str">
        <f t="shared" si="1"/>
        <v>Compra</v>
      </c>
      <c r="K33" s="196" t="str">
        <f t="shared" si="0"/>
        <v>SI</v>
      </c>
    </row>
    <row r="34" spans="1:11" x14ac:dyDescent="0.25">
      <c r="A34" s="137" t="s">
        <v>347</v>
      </c>
      <c r="B34" s="137" t="s">
        <v>348</v>
      </c>
      <c r="C34" s="138">
        <v>16</v>
      </c>
      <c r="D34" s="137" t="s">
        <v>369</v>
      </c>
      <c r="E34" s="137" t="s">
        <v>28</v>
      </c>
      <c r="F34" s="138">
        <v>13.36</v>
      </c>
      <c r="G34" s="138">
        <v>304.57</v>
      </c>
      <c r="H34" s="137" t="s">
        <v>349</v>
      </c>
      <c r="I34" s="193" t="s">
        <v>350</v>
      </c>
      <c r="J34" s="196" t="str">
        <f t="shared" si="1"/>
        <v>Compra</v>
      </c>
      <c r="K34" s="196" t="str">
        <f t="shared" si="0"/>
        <v>SI</v>
      </c>
    </row>
    <row r="35" spans="1:11" x14ac:dyDescent="0.25">
      <c r="A35" s="139" t="s">
        <v>347</v>
      </c>
      <c r="B35" s="139" t="s">
        <v>348</v>
      </c>
      <c r="C35" s="140">
        <v>17</v>
      </c>
      <c r="D35" s="139" t="s">
        <v>370</v>
      </c>
      <c r="E35" s="139" t="s">
        <v>28</v>
      </c>
      <c r="F35" s="140"/>
      <c r="G35" s="140">
        <v>14</v>
      </c>
      <c r="H35" s="139" t="s">
        <v>349</v>
      </c>
      <c r="I35" s="194" t="s">
        <v>350</v>
      </c>
      <c r="J35" s="196" t="str">
        <f t="shared" si="1"/>
        <v>Compra</v>
      </c>
      <c r="K35" s="196" t="str">
        <f t="shared" si="0"/>
        <v>SI</v>
      </c>
    </row>
    <row r="36" spans="1:11" x14ac:dyDescent="0.25">
      <c r="A36" s="137" t="s">
        <v>347</v>
      </c>
      <c r="B36" s="137" t="s">
        <v>348</v>
      </c>
      <c r="C36" s="138">
        <v>18</v>
      </c>
      <c r="D36" s="137" t="s">
        <v>371</v>
      </c>
      <c r="E36" s="137" t="s">
        <v>28</v>
      </c>
      <c r="F36" s="138"/>
      <c r="G36" s="138">
        <v>54</v>
      </c>
      <c r="H36" s="137" t="s">
        <v>349</v>
      </c>
      <c r="I36" s="193" t="s">
        <v>350</v>
      </c>
      <c r="J36" s="196" t="str">
        <f t="shared" si="1"/>
        <v>Compra</v>
      </c>
      <c r="K36" s="196" t="str">
        <f t="shared" si="0"/>
        <v>SI</v>
      </c>
    </row>
    <row r="37" spans="1:11" x14ac:dyDescent="0.25">
      <c r="A37" s="139" t="s">
        <v>347</v>
      </c>
      <c r="B37" s="139" t="s">
        <v>348</v>
      </c>
      <c r="C37" s="140">
        <v>19</v>
      </c>
      <c r="D37" s="139" t="s">
        <v>372</v>
      </c>
      <c r="E37" s="139" t="s">
        <v>28</v>
      </c>
      <c r="F37" s="140"/>
      <c r="G37" s="140">
        <v>179.01</v>
      </c>
      <c r="H37" s="139" t="s">
        <v>349</v>
      </c>
      <c r="I37" s="194" t="s">
        <v>350</v>
      </c>
      <c r="J37" s="196" t="str">
        <f t="shared" si="1"/>
        <v>Compra</v>
      </c>
      <c r="K37" s="196" t="str">
        <f t="shared" si="0"/>
        <v>SI</v>
      </c>
    </row>
    <row r="38" spans="1:11" x14ac:dyDescent="0.25">
      <c r="A38" s="137" t="s">
        <v>347</v>
      </c>
      <c r="B38" s="137" t="s">
        <v>348</v>
      </c>
      <c r="C38" s="138">
        <v>20</v>
      </c>
      <c r="D38" s="137" t="s">
        <v>373</v>
      </c>
      <c r="E38" s="137" t="s">
        <v>28</v>
      </c>
      <c r="F38" s="138"/>
      <c r="G38" s="138">
        <v>233.25</v>
      </c>
      <c r="H38" s="137" t="s">
        <v>349</v>
      </c>
      <c r="I38" s="193" t="s">
        <v>350</v>
      </c>
      <c r="J38" s="196" t="str">
        <f t="shared" si="1"/>
        <v>Compra</v>
      </c>
      <c r="K38" s="196" t="str">
        <f t="shared" si="0"/>
        <v>SI</v>
      </c>
    </row>
    <row r="39" spans="1:11" x14ac:dyDescent="0.25">
      <c r="A39" s="139" t="s">
        <v>347</v>
      </c>
      <c r="B39" s="139" t="s">
        <v>348</v>
      </c>
      <c r="C39" s="140">
        <v>21</v>
      </c>
      <c r="D39" s="139" t="s">
        <v>353</v>
      </c>
      <c r="E39" s="139" t="s">
        <v>28</v>
      </c>
      <c r="F39" s="140">
        <v>35.44</v>
      </c>
      <c r="G39" s="140">
        <v>1014.27</v>
      </c>
      <c r="H39" s="139" t="s">
        <v>349</v>
      </c>
      <c r="I39" s="194" t="s">
        <v>350</v>
      </c>
      <c r="J39" s="196" t="str">
        <f t="shared" si="1"/>
        <v>Compra</v>
      </c>
      <c r="K39" s="196" t="str">
        <f t="shared" si="0"/>
        <v>SI</v>
      </c>
    </row>
    <row r="40" spans="1:11" x14ac:dyDescent="0.25">
      <c r="A40" s="137" t="s">
        <v>347</v>
      </c>
      <c r="B40" s="137" t="s">
        <v>348</v>
      </c>
      <c r="C40" s="138">
        <v>22</v>
      </c>
      <c r="D40" s="137" t="s">
        <v>374</v>
      </c>
      <c r="E40" s="137" t="s">
        <v>28</v>
      </c>
      <c r="F40" s="138"/>
      <c r="G40" s="138">
        <v>325.64999999999998</v>
      </c>
      <c r="H40" s="137" t="s">
        <v>349</v>
      </c>
      <c r="I40" s="193" t="s">
        <v>350</v>
      </c>
      <c r="J40" s="196" t="str">
        <f t="shared" si="1"/>
        <v>Compra</v>
      </c>
      <c r="K40" s="196" t="str">
        <f t="shared" si="0"/>
        <v>SI</v>
      </c>
    </row>
    <row r="41" spans="1:11" x14ac:dyDescent="0.25">
      <c r="A41" s="139" t="s">
        <v>347</v>
      </c>
      <c r="B41" s="139" t="s">
        <v>348</v>
      </c>
      <c r="C41" s="140">
        <v>23</v>
      </c>
      <c r="D41" s="139" t="s">
        <v>375</v>
      </c>
      <c r="E41" s="139" t="s">
        <v>28</v>
      </c>
      <c r="F41" s="140"/>
      <c r="G41" s="140">
        <v>16.97</v>
      </c>
      <c r="H41" s="139" t="s">
        <v>349</v>
      </c>
      <c r="I41" s="194" t="s">
        <v>350</v>
      </c>
      <c r="J41" s="196" t="str">
        <f t="shared" si="1"/>
        <v>Compra</v>
      </c>
      <c r="K41" s="196" t="str">
        <f t="shared" si="0"/>
        <v>SI</v>
      </c>
    </row>
    <row r="42" spans="1:11" x14ac:dyDescent="0.25">
      <c r="A42" s="137" t="s">
        <v>347</v>
      </c>
      <c r="B42" s="137" t="s">
        <v>348</v>
      </c>
      <c r="C42" s="138">
        <v>24</v>
      </c>
      <c r="D42" s="137" t="s">
        <v>313</v>
      </c>
      <c r="E42" s="137" t="s">
        <v>28</v>
      </c>
      <c r="F42" s="138">
        <v>347.39</v>
      </c>
      <c r="G42" s="138">
        <v>5494.46</v>
      </c>
      <c r="H42" s="137" t="s">
        <v>349</v>
      </c>
      <c r="I42" s="193" t="s">
        <v>350</v>
      </c>
      <c r="J42" s="196" t="str">
        <f t="shared" si="1"/>
        <v>Venta</v>
      </c>
      <c r="K42" s="196" t="str">
        <f t="shared" si="0"/>
        <v>NO</v>
      </c>
    </row>
    <row r="43" spans="1:11" x14ac:dyDescent="0.25">
      <c r="A43" s="139" t="s">
        <v>347</v>
      </c>
      <c r="B43" s="139" t="s">
        <v>348</v>
      </c>
      <c r="C43" s="140">
        <v>25</v>
      </c>
      <c r="D43" s="139" t="s">
        <v>356</v>
      </c>
      <c r="E43" s="139" t="s">
        <v>28</v>
      </c>
      <c r="F43" s="140">
        <v>0.33</v>
      </c>
      <c r="G43" s="140">
        <v>9.17</v>
      </c>
      <c r="H43" s="139" t="s">
        <v>349</v>
      </c>
      <c r="I43" s="194" t="s">
        <v>350</v>
      </c>
      <c r="J43" s="196" t="str">
        <f t="shared" si="1"/>
        <v>Venta</v>
      </c>
      <c r="K43" s="196" t="str">
        <f t="shared" si="0"/>
        <v>SI</v>
      </c>
    </row>
    <row r="44" spans="1:11" x14ac:dyDescent="0.25">
      <c r="A44" s="137" t="s">
        <v>347</v>
      </c>
      <c r="B44" s="137" t="s">
        <v>348</v>
      </c>
      <c r="C44" s="138">
        <v>26</v>
      </c>
      <c r="D44" s="137" t="s">
        <v>376</v>
      </c>
      <c r="E44" s="137" t="s">
        <v>28</v>
      </c>
      <c r="F44" s="138">
        <v>0.78</v>
      </c>
      <c r="G44" s="138">
        <v>42.94</v>
      </c>
      <c r="H44" s="137" t="s">
        <v>349</v>
      </c>
      <c r="I44" s="193" t="s">
        <v>350</v>
      </c>
      <c r="J44" s="196" t="str">
        <f t="shared" si="1"/>
        <v>Venta</v>
      </c>
      <c r="K44" s="196" t="str">
        <f t="shared" si="0"/>
        <v>SI</v>
      </c>
    </row>
    <row r="45" spans="1:11" x14ac:dyDescent="0.25">
      <c r="A45" s="139" t="s">
        <v>347</v>
      </c>
      <c r="B45" s="139" t="s">
        <v>348</v>
      </c>
      <c r="C45" s="140">
        <v>27</v>
      </c>
      <c r="D45" s="139" t="s">
        <v>357</v>
      </c>
      <c r="E45" s="139" t="s">
        <v>28</v>
      </c>
      <c r="F45" s="140">
        <v>0.2</v>
      </c>
      <c r="G45" s="140">
        <v>113.57</v>
      </c>
      <c r="H45" s="139" t="s">
        <v>349</v>
      </c>
      <c r="I45" s="194" t="s">
        <v>350</v>
      </c>
      <c r="J45" s="196" t="str">
        <f t="shared" si="1"/>
        <v>Venta</v>
      </c>
      <c r="K45" s="196" t="str">
        <f t="shared" si="0"/>
        <v>SI</v>
      </c>
    </row>
    <row r="46" spans="1:11" x14ac:dyDescent="0.25">
      <c r="A46" s="137" t="s">
        <v>347</v>
      </c>
      <c r="B46" s="137" t="s">
        <v>348</v>
      </c>
      <c r="C46" s="138">
        <v>28</v>
      </c>
      <c r="D46" s="137" t="s">
        <v>377</v>
      </c>
      <c r="E46" s="137" t="s">
        <v>28</v>
      </c>
      <c r="F46" s="138"/>
      <c r="G46" s="138">
        <v>4.8600000000000003</v>
      </c>
      <c r="H46" s="137" t="s">
        <v>349</v>
      </c>
      <c r="I46" s="193" t="s">
        <v>350</v>
      </c>
      <c r="J46" s="196" t="str">
        <f t="shared" si="1"/>
        <v>Venta</v>
      </c>
      <c r="K46" s="196" t="str">
        <f t="shared" si="0"/>
        <v>SI</v>
      </c>
    </row>
    <row r="47" spans="1:11" x14ac:dyDescent="0.25">
      <c r="A47" s="139" t="s">
        <v>347</v>
      </c>
      <c r="B47" s="139" t="s">
        <v>348</v>
      </c>
      <c r="C47" s="140">
        <v>29</v>
      </c>
      <c r="D47" s="139" t="s">
        <v>378</v>
      </c>
      <c r="E47" s="139" t="s">
        <v>28</v>
      </c>
      <c r="F47" s="140"/>
      <c r="G47" s="140">
        <v>15.2</v>
      </c>
      <c r="H47" s="139" t="s">
        <v>349</v>
      </c>
      <c r="I47" s="194" t="s">
        <v>350</v>
      </c>
      <c r="J47" s="196" t="str">
        <f t="shared" si="1"/>
        <v>Venta</v>
      </c>
      <c r="K47" s="196" t="str">
        <f t="shared" si="0"/>
        <v>SI</v>
      </c>
    </row>
    <row r="48" spans="1:11" x14ac:dyDescent="0.25">
      <c r="A48" s="137" t="s">
        <v>347</v>
      </c>
      <c r="B48" s="137" t="s">
        <v>348</v>
      </c>
      <c r="C48" s="138">
        <v>30</v>
      </c>
      <c r="D48" s="137" t="s">
        <v>358</v>
      </c>
      <c r="E48" s="137" t="s">
        <v>28</v>
      </c>
      <c r="F48" s="138">
        <v>2.87</v>
      </c>
      <c r="G48" s="138">
        <v>32.049999999999997</v>
      </c>
      <c r="H48" s="137" t="s">
        <v>349</v>
      </c>
      <c r="I48" s="193" t="s">
        <v>350</v>
      </c>
      <c r="J48" s="196" t="str">
        <f t="shared" si="1"/>
        <v>Venta</v>
      </c>
      <c r="K48" s="196" t="str">
        <f t="shared" si="0"/>
        <v>SI</v>
      </c>
    </row>
    <row r="49" spans="1:11" x14ac:dyDescent="0.25">
      <c r="A49" s="139" t="s">
        <v>347</v>
      </c>
      <c r="B49" s="139" t="s">
        <v>348</v>
      </c>
      <c r="C49" s="140">
        <v>31</v>
      </c>
      <c r="D49" s="139" t="s">
        <v>359</v>
      </c>
      <c r="E49" s="139" t="s">
        <v>28</v>
      </c>
      <c r="F49" s="140">
        <v>0.47</v>
      </c>
      <c r="G49" s="140">
        <v>39.04</v>
      </c>
      <c r="H49" s="139" t="s">
        <v>349</v>
      </c>
      <c r="I49" s="194" t="s">
        <v>350</v>
      </c>
      <c r="J49" s="196" t="str">
        <f t="shared" si="1"/>
        <v>Venta</v>
      </c>
      <c r="K49" s="196" t="str">
        <f t="shared" si="0"/>
        <v>SI</v>
      </c>
    </row>
    <row r="50" spans="1:11" x14ac:dyDescent="0.25">
      <c r="A50" s="137" t="s">
        <v>347</v>
      </c>
      <c r="B50" s="137" t="s">
        <v>348</v>
      </c>
      <c r="C50" s="138">
        <v>32</v>
      </c>
      <c r="D50" s="137" t="s">
        <v>360</v>
      </c>
      <c r="E50" s="137" t="s">
        <v>28</v>
      </c>
      <c r="F50" s="138"/>
      <c r="G50" s="138">
        <v>115.42</v>
      </c>
      <c r="H50" s="137" t="s">
        <v>349</v>
      </c>
      <c r="I50" s="193" t="s">
        <v>350</v>
      </c>
      <c r="J50" s="196" t="str">
        <f t="shared" si="1"/>
        <v>Venta</v>
      </c>
      <c r="K50" s="196" t="str">
        <f t="shared" si="0"/>
        <v>SI</v>
      </c>
    </row>
    <row r="51" spans="1:11" x14ac:dyDescent="0.25">
      <c r="A51" s="139" t="s">
        <v>347</v>
      </c>
      <c r="B51" s="139" t="s">
        <v>348</v>
      </c>
      <c r="C51" s="140">
        <v>33</v>
      </c>
      <c r="D51" s="139" t="s">
        <v>379</v>
      </c>
      <c r="E51" s="139" t="s">
        <v>28</v>
      </c>
      <c r="F51" s="140"/>
      <c r="G51" s="140">
        <v>0.68</v>
      </c>
      <c r="H51" s="139" t="s">
        <v>349</v>
      </c>
      <c r="I51" s="194" t="s">
        <v>350</v>
      </c>
      <c r="J51" s="196" t="str">
        <f t="shared" si="1"/>
        <v>Venta</v>
      </c>
      <c r="K51" s="196" t="str">
        <f t="shared" si="0"/>
        <v>SI</v>
      </c>
    </row>
    <row r="52" spans="1:11" x14ac:dyDescent="0.25">
      <c r="A52" s="137" t="s">
        <v>347</v>
      </c>
      <c r="B52" s="137" t="s">
        <v>348</v>
      </c>
      <c r="C52" s="138">
        <v>34</v>
      </c>
      <c r="D52" s="137" t="s">
        <v>361</v>
      </c>
      <c r="E52" s="137" t="s">
        <v>28</v>
      </c>
      <c r="F52" s="138">
        <v>1.2</v>
      </c>
      <c r="G52" s="138">
        <v>87.4</v>
      </c>
      <c r="H52" s="137" t="s">
        <v>349</v>
      </c>
      <c r="I52" s="193" t="s">
        <v>350</v>
      </c>
      <c r="J52" s="196" t="str">
        <f t="shared" si="1"/>
        <v>Venta</v>
      </c>
      <c r="K52" s="196" t="str">
        <f t="shared" si="0"/>
        <v>SI</v>
      </c>
    </row>
    <row r="53" spans="1:11" x14ac:dyDescent="0.25">
      <c r="A53" s="139" t="s">
        <v>347</v>
      </c>
      <c r="B53" s="139" t="s">
        <v>348</v>
      </c>
      <c r="C53" s="140">
        <v>35</v>
      </c>
      <c r="D53" s="139" t="s">
        <v>354</v>
      </c>
      <c r="E53" s="139" t="s">
        <v>28</v>
      </c>
      <c r="F53" s="140">
        <v>56.21</v>
      </c>
      <c r="G53" s="140">
        <v>983.64</v>
      </c>
      <c r="H53" s="139" t="s">
        <v>349</v>
      </c>
      <c r="I53" s="194" t="s">
        <v>350</v>
      </c>
      <c r="J53" s="196" t="str">
        <f t="shared" si="1"/>
        <v>Venta</v>
      </c>
      <c r="K53" s="196" t="str">
        <f t="shared" si="0"/>
        <v>SI</v>
      </c>
    </row>
    <row r="54" spans="1:11" x14ac:dyDescent="0.25">
      <c r="A54" s="137" t="s">
        <v>347</v>
      </c>
      <c r="B54" s="137" t="s">
        <v>348</v>
      </c>
      <c r="C54" s="138">
        <v>36</v>
      </c>
      <c r="D54" s="137" t="s">
        <v>364</v>
      </c>
      <c r="E54" s="137" t="s">
        <v>28</v>
      </c>
      <c r="F54" s="138">
        <v>0.1</v>
      </c>
      <c r="G54" s="138">
        <v>78.099999999999994</v>
      </c>
      <c r="H54" s="137" t="s">
        <v>349</v>
      </c>
      <c r="I54" s="193" t="s">
        <v>350</v>
      </c>
      <c r="J54" s="196" t="str">
        <f t="shared" si="1"/>
        <v>Venta</v>
      </c>
      <c r="K54" s="196" t="str">
        <f t="shared" si="0"/>
        <v>SI</v>
      </c>
    </row>
    <row r="55" spans="1:11" x14ac:dyDescent="0.25">
      <c r="A55" s="139" t="s">
        <v>347</v>
      </c>
      <c r="B55" s="139" t="s">
        <v>348</v>
      </c>
      <c r="C55" s="140">
        <v>37</v>
      </c>
      <c r="D55" s="139" t="s">
        <v>380</v>
      </c>
      <c r="E55" s="139" t="s">
        <v>28</v>
      </c>
      <c r="F55" s="140"/>
      <c r="G55" s="140">
        <v>18.43</v>
      </c>
      <c r="H55" s="139" t="s">
        <v>349</v>
      </c>
      <c r="I55" s="194" t="s">
        <v>350</v>
      </c>
      <c r="J55" s="196" t="str">
        <f t="shared" si="1"/>
        <v>Venta</v>
      </c>
      <c r="K55" s="196" t="str">
        <f t="shared" si="0"/>
        <v>SI</v>
      </c>
    </row>
    <row r="56" spans="1:11" x14ac:dyDescent="0.25">
      <c r="A56" s="137" t="s">
        <v>347</v>
      </c>
      <c r="B56" s="137" t="s">
        <v>348</v>
      </c>
      <c r="C56" s="138">
        <v>38</v>
      </c>
      <c r="D56" s="137" t="s">
        <v>365</v>
      </c>
      <c r="E56" s="137" t="s">
        <v>28</v>
      </c>
      <c r="F56" s="138"/>
      <c r="G56" s="138">
        <v>26</v>
      </c>
      <c r="H56" s="137" t="s">
        <v>349</v>
      </c>
      <c r="I56" s="193" t="s">
        <v>350</v>
      </c>
      <c r="J56" s="196" t="str">
        <f t="shared" si="1"/>
        <v>Venta</v>
      </c>
      <c r="K56" s="196" t="str">
        <f t="shared" si="0"/>
        <v>SI</v>
      </c>
    </row>
    <row r="57" spans="1:11" x14ac:dyDescent="0.25">
      <c r="A57" s="139" t="s">
        <v>347</v>
      </c>
      <c r="B57" s="139" t="s">
        <v>348</v>
      </c>
      <c r="C57" s="140">
        <v>39</v>
      </c>
      <c r="D57" s="139" t="s">
        <v>366</v>
      </c>
      <c r="E57" s="139" t="s">
        <v>28</v>
      </c>
      <c r="F57" s="140">
        <v>0.1</v>
      </c>
      <c r="G57" s="140">
        <v>11.71</v>
      </c>
      <c r="H57" s="139" t="s">
        <v>349</v>
      </c>
      <c r="I57" s="194" t="s">
        <v>350</v>
      </c>
      <c r="J57" s="196" t="str">
        <f t="shared" si="1"/>
        <v>Venta</v>
      </c>
      <c r="K57" s="196" t="str">
        <f t="shared" si="0"/>
        <v>SI</v>
      </c>
    </row>
    <row r="58" spans="1:11" x14ac:dyDescent="0.25">
      <c r="A58" s="137" t="s">
        <v>347</v>
      </c>
      <c r="B58" s="137" t="s">
        <v>348</v>
      </c>
      <c r="C58" s="138">
        <v>40</v>
      </c>
      <c r="D58" s="137" t="s">
        <v>381</v>
      </c>
      <c r="E58" s="137" t="s">
        <v>28</v>
      </c>
      <c r="F58" s="138">
        <v>0.3</v>
      </c>
      <c r="G58" s="138">
        <v>14.2</v>
      </c>
      <c r="H58" s="137" t="s">
        <v>349</v>
      </c>
      <c r="I58" s="193" t="s">
        <v>350</v>
      </c>
      <c r="J58" s="196" t="str">
        <f t="shared" si="1"/>
        <v>Venta</v>
      </c>
      <c r="K58" s="196" t="str">
        <f t="shared" si="0"/>
        <v>SI</v>
      </c>
    </row>
    <row r="59" spans="1:11" x14ac:dyDescent="0.25">
      <c r="A59" s="139" t="s">
        <v>347</v>
      </c>
      <c r="B59" s="139" t="s">
        <v>348</v>
      </c>
      <c r="C59" s="140">
        <v>41</v>
      </c>
      <c r="D59" s="139" t="s">
        <v>382</v>
      </c>
      <c r="E59" s="139" t="s">
        <v>28</v>
      </c>
      <c r="F59" s="140">
        <v>0.25</v>
      </c>
      <c r="G59" s="140">
        <v>3.25</v>
      </c>
      <c r="H59" s="139" t="s">
        <v>349</v>
      </c>
      <c r="I59" s="194" t="s">
        <v>350</v>
      </c>
      <c r="J59" s="196" t="str">
        <f t="shared" si="1"/>
        <v>Venta</v>
      </c>
      <c r="K59" s="196" t="str">
        <f t="shared" si="0"/>
        <v>SI</v>
      </c>
    </row>
    <row r="60" spans="1:11" x14ac:dyDescent="0.25">
      <c r="A60" s="137" t="s">
        <v>347</v>
      </c>
      <c r="B60" s="137" t="s">
        <v>348</v>
      </c>
      <c r="C60" s="138">
        <v>42</v>
      </c>
      <c r="D60" s="137" t="s">
        <v>367</v>
      </c>
      <c r="E60" s="137" t="s">
        <v>28</v>
      </c>
      <c r="F60" s="138"/>
      <c r="G60" s="138">
        <v>32.1</v>
      </c>
      <c r="H60" s="137" t="s">
        <v>349</v>
      </c>
      <c r="I60" s="193" t="s">
        <v>350</v>
      </c>
      <c r="J60" s="196" t="str">
        <f t="shared" si="1"/>
        <v>Venta</v>
      </c>
      <c r="K60" s="196" t="str">
        <f t="shared" si="0"/>
        <v>SI</v>
      </c>
    </row>
    <row r="61" spans="1:11" x14ac:dyDescent="0.25">
      <c r="A61" s="139" t="s">
        <v>347</v>
      </c>
      <c r="B61" s="139" t="s">
        <v>348</v>
      </c>
      <c r="C61" s="140">
        <v>43</v>
      </c>
      <c r="D61" s="139" t="s">
        <v>355</v>
      </c>
      <c r="E61" s="139" t="s">
        <v>28</v>
      </c>
      <c r="F61" s="140">
        <v>161.56</v>
      </c>
      <c r="G61" s="140">
        <v>1289.1300000000001</v>
      </c>
      <c r="H61" s="139" t="s">
        <v>349</v>
      </c>
      <c r="I61" s="194" t="s">
        <v>350</v>
      </c>
      <c r="J61" s="196" t="str">
        <f t="shared" si="1"/>
        <v>Venta</v>
      </c>
      <c r="K61" s="196" t="str">
        <f t="shared" si="0"/>
        <v>SI</v>
      </c>
    </row>
    <row r="62" spans="1:11" x14ac:dyDescent="0.25">
      <c r="A62" s="137" t="s">
        <v>347</v>
      </c>
      <c r="B62" s="137" t="s">
        <v>348</v>
      </c>
      <c r="C62" s="138">
        <v>44</v>
      </c>
      <c r="D62" s="137" t="s">
        <v>368</v>
      </c>
      <c r="E62" s="137" t="s">
        <v>28</v>
      </c>
      <c r="F62" s="138">
        <v>4</v>
      </c>
      <c r="G62" s="138">
        <v>124.22</v>
      </c>
      <c r="H62" s="137" t="s">
        <v>349</v>
      </c>
      <c r="I62" s="193" t="s">
        <v>350</v>
      </c>
      <c r="J62" s="196" t="str">
        <f t="shared" si="1"/>
        <v>Venta</v>
      </c>
      <c r="K62" s="196" t="str">
        <f t="shared" si="0"/>
        <v>SI</v>
      </c>
    </row>
    <row r="63" spans="1:11" x14ac:dyDescent="0.25">
      <c r="A63" s="139" t="s">
        <v>347</v>
      </c>
      <c r="B63" s="139" t="s">
        <v>348</v>
      </c>
      <c r="C63" s="140">
        <v>45</v>
      </c>
      <c r="D63" s="139" t="s">
        <v>369</v>
      </c>
      <c r="E63" s="139" t="s">
        <v>28</v>
      </c>
      <c r="F63" s="140">
        <v>63.25</v>
      </c>
      <c r="G63" s="140">
        <v>477.4</v>
      </c>
      <c r="H63" s="139" t="s">
        <v>349</v>
      </c>
      <c r="I63" s="194" t="s">
        <v>350</v>
      </c>
      <c r="J63" s="196" t="str">
        <f t="shared" si="1"/>
        <v>Venta</v>
      </c>
      <c r="K63" s="196" t="str">
        <f t="shared" si="0"/>
        <v>SI</v>
      </c>
    </row>
    <row r="64" spans="1:11" x14ac:dyDescent="0.25">
      <c r="A64" s="137" t="s">
        <v>347</v>
      </c>
      <c r="B64" s="137" t="s">
        <v>348</v>
      </c>
      <c r="C64" s="138">
        <v>46</v>
      </c>
      <c r="D64" s="137" t="s">
        <v>370</v>
      </c>
      <c r="E64" s="137" t="s">
        <v>28</v>
      </c>
      <c r="F64" s="138"/>
      <c r="G64" s="138">
        <v>10</v>
      </c>
      <c r="H64" s="137" t="s">
        <v>349</v>
      </c>
      <c r="I64" s="193" t="s">
        <v>350</v>
      </c>
      <c r="J64" s="196" t="str">
        <f t="shared" si="1"/>
        <v>Venta</v>
      </c>
      <c r="K64" s="196" t="str">
        <f t="shared" si="0"/>
        <v>SI</v>
      </c>
    </row>
    <row r="65" spans="1:11" x14ac:dyDescent="0.25">
      <c r="A65" s="139" t="s">
        <v>347</v>
      </c>
      <c r="B65" s="139" t="s">
        <v>348</v>
      </c>
      <c r="C65" s="140">
        <v>47</v>
      </c>
      <c r="D65" s="139" t="s">
        <v>371</v>
      </c>
      <c r="E65" s="139" t="s">
        <v>28</v>
      </c>
      <c r="F65" s="140">
        <v>4.53</v>
      </c>
      <c r="G65" s="140">
        <v>88.77</v>
      </c>
      <c r="H65" s="139" t="s">
        <v>349</v>
      </c>
      <c r="I65" s="194" t="s">
        <v>350</v>
      </c>
      <c r="J65" s="196" t="str">
        <f t="shared" si="1"/>
        <v>Venta</v>
      </c>
      <c r="K65" s="196" t="str">
        <f t="shared" si="0"/>
        <v>SI</v>
      </c>
    </row>
    <row r="66" spans="1:11" x14ac:dyDescent="0.25">
      <c r="A66" s="137" t="s">
        <v>347</v>
      </c>
      <c r="B66" s="137" t="s">
        <v>348</v>
      </c>
      <c r="C66" s="138">
        <v>48</v>
      </c>
      <c r="D66" s="137" t="s">
        <v>372</v>
      </c>
      <c r="E66" s="137" t="s">
        <v>28</v>
      </c>
      <c r="F66" s="138">
        <v>0.5</v>
      </c>
      <c r="G66" s="138">
        <v>344.91</v>
      </c>
      <c r="H66" s="137" t="s">
        <v>349</v>
      </c>
      <c r="I66" s="193" t="s">
        <v>350</v>
      </c>
      <c r="J66" s="196" t="str">
        <f t="shared" si="1"/>
        <v>Venta</v>
      </c>
      <c r="K66" s="196" t="str">
        <f t="shared" si="0"/>
        <v>SI</v>
      </c>
    </row>
    <row r="67" spans="1:11" x14ac:dyDescent="0.25">
      <c r="A67" s="139" t="s">
        <v>347</v>
      </c>
      <c r="B67" s="139" t="s">
        <v>348</v>
      </c>
      <c r="C67" s="140">
        <v>49</v>
      </c>
      <c r="D67" s="139" t="s">
        <v>373</v>
      </c>
      <c r="E67" s="139" t="s">
        <v>28</v>
      </c>
      <c r="F67" s="140">
        <v>0.1</v>
      </c>
      <c r="G67" s="140">
        <v>155.5</v>
      </c>
      <c r="H67" s="139" t="s">
        <v>349</v>
      </c>
      <c r="I67" s="194" t="s">
        <v>350</v>
      </c>
      <c r="J67" s="196" t="str">
        <f t="shared" ref="J67:J130" si="2">+IF(D67="WNMC","Compra",IF(D67="WNMV","Venta",IF(D67="WEMC","Compra",IF(D67="WEMV","Venta",IF(D67="WENV","Venta",IF(D67="WENC","Compra",J66))))))</f>
        <v>Venta</v>
      </c>
      <c r="K67" s="196" t="str">
        <f t="shared" ref="K67:K130" si="3">+IF(D67="WNMC","NO",IF(D67="WNMV","NO",IF(D67="WEMC","NO",IF(D67="WEMV","NO",IF(D67="WENV","NO",IF(D67="WENC","NO","SI"))))))</f>
        <v>SI</v>
      </c>
    </row>
    <row r="68" spans="1:11" x14ac:dyDescent="0.25">
      <c r="A68" s="137" t="s">
        <v>347</v>
      </c>
      <c r="B68" s="137" t="s">
        <v>348</v>
      </c>
      <c r="C68" s="138">
        <v>50</v>
      </c>
      <c r="D68" s="137" t="s">
        <v>353</v>
      </c>
      <c r="E68" s="137" t="s">
        <v>28</v>
      </c>
      <c r="F68" s="138">
        <v>48.35</v>
      </c>
      <c r="G68" s="138">
        <v>1094.27</v>
      </c>
      <c r="H68" s="137" t="s">
        <v>349</v>
      </c>
      <c r="I68" s="193" t="s">
        <v>350</v>
      </c>
      <c r="J68" s="196" t="str">
        <f t="shared" si="2"/>
        <v>Venta</v>
      </c>
      <c r="K68" s="196" t="str">
        <f t="shared" si="3"/>
        <v>SI</v>
      </c>
    </row>
    <row r="69" spans="1:11" x14ac:dyDescent="0.25">
      <c r="A69" s="139" t="s">
        <v>347</v>
      </c>
      <c r="B69" s="139" t="s">
        <v>348</v>
      </c>
      <c r="C69" s="140">
        <v>51</v>
      </c>
      <c r="D69" s="139" t="s">
        <v>374</v>
      </c>
      <c r="E69" s="139" t="s">
        <v>28</v>
      </c>
      <c r="F69" s="140">
        <v>1.8</v>
      </c>
      <c r="G69" s="140">
        <v>277.33</v>
      </c>
      <c r="H69" s="139" t="s">
        <v>349</v>
      </c>
      <c r="I69" s="194" t="s">
        <v>350</v>
      </c>
      <c r="J69" s="196" t="str">
        <f t="shared" si="2"/>
        <v>Venta</v>
      </c>
      <c r="K69" s="196" t="str">
        <f t="shared" si="3"/>
        <v>SI</v>
      </c>
    </row>
    <row r="70" spans="1:11" x14ac:dyDescent="0.25">
      <c r="A70" s="137" t="s">
        <v>347</v>
      </c>
      <c r="B70" s="137" t="s">
        <v>348</v>
      </c>
      <c r="C70" s="138">
        <v>52</v>
      </c>
      <c r="D70" s="137" t="s">
        <v>375</v>
      </c>
      <c r="E70" s="137" t="s">
        <v>28</v>
      </c>
      <c r="F70" s="138">
        <v>0.49</v>
      </c>
      <c r="G70" s="138">
        <v>5.15</v>
      </c>
      <c r="H70" s="137" t="s">
        <v>349</v>
      </c>
      <c r="I70" s="193" t="s">
        <v>350</v>
      </c>
      <c r="J70" s="196" t="str">
        <f t="shared" si="2"/>
        <v>Venta</v>
      </c>
      <c r="K70" s="196" t="str">
        <f t="shared" si="3"/>
        <v>SI</v>
      </c>
    </row>
    <row r="71" spans="1:11" x14ac:dyDescent="0.25">
      <c r="A71" s="139" t="s">
        <v>347</v>
      </c>
      <c r="B71" s="139" t="s">
        <v>348</v>
      </c>
      <c r="C71" s="140">
        <v>53</v>
      </c>
      <c r="D71" s="139" t="s">
        <v>314</v>
      </c>
      <c r="E71" s="139" t="s">
        <v>28</v>
      </c>
      <c r="F71" s="140">
        <v>35.1</v>
      </c>
      <c r="G71" s="140">
        <v>107.72</v>
      </c>
      <c r="H71" s="139" t="s">
        <v>349</v>
      </c>
      <c r="I71" s="194" t="s">
        <v>350</v>
      </c>
      <c r="J71" s="196" t="str">
        <f t="shared" si="2"/>
        <v>Compra</v>
      </c>
      <c r="K71" s="196" t="str">
        <f t="shared" si="3"/>
        <v>NO</v>
      </c>
    </row>
    <row r="72" spans="1:11" x14ac:dyDescent="0.25">
      <c r="A72" s="137" t="s">
        <v>347</v>
      </c>
      <c r="B72" s="137" t="s">
        <v>348</v>
      </c>
      <c r="C72" s="138">
        <v>54</v>
      </c>
      <c r="D72" s="137" t="s">
        <v>351</v>
      </c>
      <c r="E72" s="137" t="s">
        <v>28</v>
      </c>
      <c r="F72" s="138">
        <v>35.1</v>
      </c>
      <c r="G72" s="138">
        <v>107.72</v>
      </c>
      <c r="H72" s="137" t="s">
        <v>349</v>
      </c>
      <c r="I72" s="193" t="s">
        <v>350</v>
      </c>
      <c r="J72" s="196" t="str">
        <f t="shared" si="2"/>
        <v>Compra</v>
      </c>
      <c r="K72" s="196" t="str">
        <f t="shared" si="3"/>
        <v>SI</v>
      </c>
    </row>
    <row r="73" spans="1:11" x14ac:dyDescent="0.25">
      <c r="A73" s="139" t="s">
        <v>347</v>
      </c>
      <c r="B73" s="139" t="s">
        <v>348</v>
      </c>
      <c r="C73" s="140">
        <v>55</v>
      </c>
      <c r="D73" s="139" t="s">
        <v>316</v>
      </c>
      <c r="E73" s="139" t="s">
        <v>28</v>
      </c>
      <c r="F73" s="140">
        <v>702.48</v>
      </c>
      <c r="G73" s="140">
        <v>2490.69</v>
      </c>
      <c r="H73" s="139" t="s">
        <v>349</v>
      </c>
      <c r="I73" s="194" t="s">
        <v>350</v>
      </c>
      <c r="J73" s="196" t="str">
        <f t="shared" si="2"/>
        <v>Venta</v>
      </c>
      <c r="K73" s="196" t="str">
        <f t="shared" si="3"/>
        <v>NO</v>
      </c>
    </row>
    <row r="74" spans="1:11" x14ac:dyDescent="0.25">
      <c r="A74" s="137" t="s">
        <v>347</v>
      </c>
      <c r="B74" s="137" t="s">
        <v>348</v>
      </c>
      <c r="C74" s="138">
        <v>56</v>
      </c>
      <c r="D74" s="137" t="s">
        <v>351</v>
      </c>
      <c r="E74" s="137" t="s">
        <v>28</v>
      </c>
      <c r="F74" s="138">
        <v>702.48</v>
      </c>
      <c r="G74" s="138">
        <v>2490.69</v>
      </c>
      <c r="H74" s="137" t="s">
        <v>349</v>
      </c>
      <c r="I74" s="193" t="s">
        <v>350</v>
      </c>
      <c r="J74" s="196" t="str">
        <f t="shared" si="2"/>
        <v>Venta</v>
      </c>
      <c r="K74" s="196" t="str">
        <f t="shared" si="3"/>
        <v>SI</v>
      </c>
    </row>
    <row r="75" spans="1:11" x14ac:dyDescent="0.25">
      <c r="A75" s="139" t="s">
        <v>359</v>
      </c>
      <c r="B75" s="139" t="s">
        <v>348</v>
      </c>
      <c r="C75" s="140">
        <v>57</v>
      </c>
      <c r="D75" s="139" t="s">
        <v>311</v>
      </c>
      <c r="E75" s="139" t="s">
        <v>28</v>
      </c>
      <c r="F75" s="140"/>
      <c r="G75" s="140">
        <v>29.33</v>
      </c>
      <c r="H75" s="139" t="s">
        <v>349</v>
      </c>
      <c r="I75" s="194" t="s">
        <v>350</v>
      </c>
      <c r="J75" s="196" t="str">
        <f t="shared" si="2"/>
        <v>Compra</v>
      </c>
      <c r="K75" s="196" t="str">
        <f t="shared" si="3"/>
        <v>NO</v>
      </c>
    </row>
    <row r="76" spans="1:11" x14ac:dyDescent="0.25">
      <c r="A76" s="137" t="s">
        <v>359</v>
      </c>
      <c r="B76" s="137" t="s">
        <v>348</v>
      </c>
      <c r="C76" s="138">
        <v>58</v>
      </c>
      <c r="D76" s="137" t="s">
        <v>347</v>
      </c>
      <c r="E76" s="137" t="s">
        <v>28</v>
      </c>
      <c r="F76" s="138"/>
      <c r="G76" s="138">
        <v>29.33</v>
      </c>
      <c r="H76" s="137" t="s">
        <v>349</v>
      </c>
      <c r="I76" s="193" t="s">
        <v>350</v>
      </c>
      <c r="J76" s="196" t="str">
        <f t="shared" si="2"/>
        <v>Compra</v>
      </c>
      <c r="K76" s="196" t="str">
        <f t="shared" si="3"/>
        <v>SI</v>
      </c>
    </row>
    <row r="77" spans="1:11" x14ac:dyDescent="0.25">
      <c r="A77" s="139" t="s">
        <v>359</v>
      </c>
      <c r="B77" s="139" t="s">
        <v>348</v>
      </c>
      <c r="C77" s="140">
        <v>59</v>
      </c>
      <c r="D77" s="139" t="s">
        <v>313</v>
      </c>
      <c r="E77" s="139" t="s">
        <v>28</v>
      </c>
      <c r="F77" s="140"/>
      <c r="G77" s="140">
        <v>76.87</v>
      </c>
      <c r="H77" s="139" t="s">
        <v>349</v>
      </c>
      <c r="I77" s="194" t="s">
        <v>350</v>
      </c>
      <c r="J77" s="196" t="str">
        <f t="shared" si="2"/>
        <v>Venta</v>
      </c>
      <c r="K77" s="196" t="str">
        <f t="shared" si="3"/>
        <v>NO</v>
      </c>
    </row>
    <row r="78" spans="1:11" x14ac:dyDescent="0.25">
      <c r="A78" s="137" t="s">
        <v>359</v>
      </c>
      <c r="B78" s="137" t="s">
        <v>348</v>
      </c>
      <c r="C78" s="138">
        <v>60</v>
      </c>
      <c r="D78" s="137" t="s">
        <v>347</v>
      </c>
      <c r="E78" s="137" t="s">
        <v>28</v>
      </c>
      <c r="F78" s="138"/>
      <c r="G78" s="138">
        <v>76.87</v>
      </c>
      <c r="H78" s="137" t="s">
        <v>349</v>
      </c>
      <c r="I78" s="193" t="s">
        <v>350</v>
      </c>
      <c r="J78" s="196" t="str">
        <f t="shared" si="2"/>
        <v>Venta</v>
      </c>
      <c r="K78" s="196" t="str">
        <f t="shared" si="3"/>
        <v>SI</v>
      </c>
    </row>
    <row r="79" spans="1:11" x14ac:dyDescent="0.25">
      <c r="A79" s="139" t="s">
        <v>353</v>
      </c>
      <c r="B79" s="139" t="s">
        <v>348</v>
      </c>
      <c r="C79" s="140">
        <v>61</v>
      </c>
      <c r="D79" s="139" t="s">
        <v>311</v>
      </c>
      <c r="E79" s="139" t="s">
        <v>28</v>
      </c>
      <c r="F79" s="140">
        <v>30.96</v>
      </c>
      <c r="G79" s="140">
        <v>968.22</v>
      </c>
      <c r="H79" s="139" t="s">
        <v>349</v>
      </c>
      <c r="I79" s="194" t="s">
        <v>350</v>
      </c>
      <c r="J79" s="196" t="str">
        <f t="shared" si="2"/>
        <v>Compra</v>
      </c>
      <c r="K79" s="196" t="str">
        <f t="shared" si="3"/>
        <v>NO</v>
      </c>
    </row>
    <row r="80" spans="1:11" x14ac:dyDescent="0.25">
      <c r="A80" s="137" t="s">
        <v>353</v>
      </c>
      <c r="B80" s="137" t="s">
        <v>348</v>
      </c>
      <c r="C80" s="138">
        <v>62</v>
      </c>
      <c r="D80" s="137" t="s">
        <v>347</v>
      </c>
      <c r="E80" s="137" t="s">
        <v>28</v>
      </c>
      <c r="F80" s="138">
        <v>30.96</v>
      </c>
      <c r="G80" s="138">
        <v>968.22</v>
      </c>
      <c r="H80" s="137" t="s">
        <v>349</v>
      </c>
      <c r="I80" s="193" t="s">
        <v>350</v>
      </c>
      <c r="J80" s="196" t="str">
        <f t="shared" si="2"/>
        <v>Compra</v>
      </c>
      <c r="K80" s="196" t="str">
        <f t="shared" si="3"/>
        <v>SI</v>
      </c>
    </row>
    <row r="81" spans="1:11" x14ac:dyDescent="0.25">
      <c r="A81" s="139" t="s">
        <v>353</v>
      </c>
      <c r="B81" s="139" t="s">
        <v>348</v>
      </c>
      <c r="C81" s="140">
        <v>63</v>
      </c>
      <c r="D81" s="139" t="s">
        <v>313</v>
      </c>
      <c r="E81" s="139" t="s">
        <v>28</v>
      </c>
      <c r="F81" s="140">
        <v>28.69</v>
      </c>
      <c r="G81" s="140">
        <v>860.15</v>
      </c>
      <c r="H81" s="139" t="s">
        <v>349</v>
      </c>
      <c r="I81" s="194" t="s">
        <v>350</v>
      </c>
      <c r="J81" s="196" t="str">
        <f t="shared" si="2"/>
        <v>Venta</v>
      </c>
      <c r="K81" s="196" t="str">
        <f t="shared" si="3"/>
        <v>NO</v>
      </c>
    </row>
    <row r="82" spans="1:11" x14ac:dyDescent="0.25">
      <c r="A82" s="137" t="s">
        <v>353</v>
      </c>
      <c r="B82" s="137" t="s">
        <v>348</v>
      </c>
      <c r="C82" s="138">
        <v>64</v>
      </c>
      <c r="D82" s="137" t="s">
        <v>347</v>
      </c>
      <c r="E82" s="137" t="s">
        <v>28</v>
      </c>
      <c r="F82" s="138">
        <v>28.69</v>
      </c>
      <c r="G82" s="138">
        <v>860.15</v>
      </c>
      <c r="H82" s="137" t="s">
        <v>349</v>
      </c>
      <c r="I82" s="193" t="s">
        <v>350</v>
      </c>
      <c r="J82" s="196" t="str">
        <f t="shared" si="2"/>
        <v>Venta</v>
      </c>
      <c r="K82" s="196" t="str">
        <f t="shared" si="3"/>
        <v>SI</v>
      </c>
    </row>
    <row r="83" spans="1:11" x14ac:dyDescent="0.25">
      <c r="A83" s="139" t="s">
        <v>353</v>
      </c>
      <c r="B83" s="139" t="s">
        <v>348</v>
      </c>
      <c r="C83" s="140">
        <v>65</v>
      </c>
      <c r="D83" s="139" t="s">
        <v>314</v>
      </c>
      <c r="E83" s="139" t="s">
        <v>28</v>
      </c>
      <c r="F83" s="140"/>
      <c r="G83" s="140">
        <v>224.56</v>
      </c>
      <c r="H83" s="139" t="s">
        <v>349</v>
      </c>
      <c r="I83" s="194" t="s">
        <v>350</v>
      </c>
      <c r="J83" s="196" t="str">
        <f t="shared" si="2"/>
        <v>Compra</v>
      </c>
      <c r="K83" s="196" t="str">
        <f t="shared" si="3"/>
        <v>NO</v>
      </c>
    </row>
    <row r="84" spans="1:11" x14ac:dyDescent="0.25">
      <c r="A84" s="137" t="s">
        <v>353</v>
      </c>
      <c r="B84" s="137" t="s">
        <v>348</v>
      </c>
      <c r="C84" s="138">
        <v>66</v>
      </c>
      <c r="D84" s="137" t="s">
        <v>351</v>
      </c>
      <c r="E84" s="137" t="s">
        <v>28</v>
      </c>
      <c r="F84" s="138"/>
      <c r="G84" s="138">
        <v>224.56</v>
      </c>
      <c r="H84" s="137" t="s">
        <v>349</v>
      </c>
      <c r="I84" s="193" t="s">
        <v>350</v>
      </c>
      <c r="J84" s="196" t="str">
        <f t="shared" si="2"/>
        <v>Compra</v>
      </c>
      <c r="K84" s="196" t="str">
        <f t="shared" si="3"/>
        <v>SI</v>
      </c>
    </row>
    <row r="85" spans="1:11" x14ac:dyDescent="0.25">
      <c r="A85" s="139" t="s">
        <v>353</v>
      </c>
      <c r="B85" s="139" t="s">
        <v>348</v>
      </c>
      <c r="C85" s="140">
        <v>67</v>
      </c>
      <c r="D85" s="139" t="s">
        <v>316</v>
      </c>
      <c r="E85" s="139" t="s">
        <v>28</v>
      </c>
      <c r="F85" s="140"/>
      <c r="G85" s="140">
        <v>674.67</v>
      </c>
      <c r="H85" s="139" t="s">
        <v>349</v>
      </c>
      <c r="I85" s="194" t="s">
        <v>350</v>
      </c>
      <c r="J85" s="196" t="str">
        <f t="shared" si="2"/>
        <v>Venta</v>
      </c>
      <c r="K85" s="196" t="str">
        <f t="shared" si="3"/>
        <v>NO</v>
      </c>
    </row>
    <row r="86" spans="1:11" x14ac:dyDescent="0.25">
      <c r="A86" s="137" t="s">
        <v>353</v>
      </c>
      <c r="B86" s="137" t="s">
        <v>348</v>
      </c>
      <c r="C86" s="138">
        <v>68</v>
      </c>
      <c r="D86" s="137" t="s">
        <v>351</v>
      </c>
      <c r="E86" s="137" t="s">
        <v>28</v>
      </c>
      <c r="F86" s="138"/>
      <c r="G86" s="138">
        <v>674.67</v>
      </c>
      <c r="H86" s="137" t="s">
        <v>349</v>
      </c>
      <c r="I86" s="193" t="s">
        <v>350</v>
      </c>
      <c r="J86" s="196" t="str">
        <f t="shared" si="2"/>
        <v>Venta</v>
      </c>
      <c r="K86" s="196" t="str">
        <f t="shared" si="3"/>
        <v>SI</v>
      </c>
    </row>
    <row r="87" spans="1:11" x14ac:dyDescent="0.25">
      <c r="A87" s="139" t="s">
        <v>380</v>
      </c>
      <c r="B87" s="139" t="s">
        <v>348</v>
      </c>
      <c r="C87" s="140">
        <v>69</v>
      </c>
      <c r="D87" s="139" t="s">
        <v>311</v>
      </c>
      <c r="E87" s="139" t="s">
        <v>28</v>
      </c>
      <c r="F87" s="140">
        <v>70.599999999999994</v>
      </c>
      <c r="G87" s="140">
        <v>626.47</v>
      </c>
      <c r="H87" s="139" t="s">
        <v>349</v>
      </c>
      <c r="I87" s="194" t="s">
        <v>350</v>
      </c>
      <c r="J87" s="196" t="str">
        <f t="shared" si="2"/>
        <v>Compra</v>
      </c>
      <c r="K87" s="196" t="str">
        <f t="shared" si="3"/>
        <v>NO</v>
      </c>
    </row>
    <row r="88" spans="1:11" x14ac:dyDescent="0.25">
      <c r="A88" s="137" t="s">
        <v>380</v>
      </c>
      <c r="B88" s="137" t="s">
        <v>348</v>
      </c>
      <c r="C88" s="138">
        <v>70</v>
      </c>
      <c r="D88" s="137" t="s">
        <v>347</v>
      </c>
      <c r="E88" s="137" t="s">
        <v>28</v>
      </c>
      <c r="F88" s="138">
        <v>70.599999999999994</v>
      </c>
      <c r="G88" s="138">
        <v>626.47</v>
      </c>
      <c r="H88" s="137" t="s">
        <v>349</v>
      </c>
      <c r="I88" s="193" t="s">
        <v>350</v>
      </c>
      <c r="J88" s="196" t="str">
        <f t="shared" si="2"/>
        <v>Compra</v>
      </c>
      <c r="K88" s="196" t="str">
        <f t="shared" si="3"/>
        <v>SI</v>
      </c>
    </row>
    <row r="89" spans="1:11" x14ac:dyDescent="0.25">
      <c r="A89" s="139" t="s">
        <v>380</v>
      </c>
      <c r="B89" s="139" t="s">
        <v>348</v>
      </c>
      <c r="C89" s="140">
        <v>71</v>
      </c>
      <c r="D89" s="139" t="s">
        <v>313</v>
      </c>
      <c r="E89" s="139" t="s">
        <v>28</v>
      </c>
      <c r="F89" s="140">
        <v>2.59</v>
      </c>
      <c r="G89" s="140">
        <v>218.22</v>
      </c>
      <c r="H89" s="139" t="s">
        <v>349</v>
      </c>
      <c r="I89" s="194" t="s">
        <v>350</v>
      </c>
      <c r="J89" s="196" t="str">
        <f t="shared" si="2"/>
        <v>Venta</v>
      </c>
      <c r="K89" s="196" t="str">
        <f t="shared" si="3"/>
        <v>NO</v>
      </c>
    </row>
    <row r="90" spans="1:11" x14ac:dyDescent="0.25">
      <c r="A90" s="137" t="s">
        <v>380</v>
      </c>
      <c r="B90" s="137" t="s">
        <v>348</v>
      </c>
      <c r="C90" s="138">
        <v>72</v>
      </c>
      <c r="D90" s="137" t="s">
        <v>347</v>
      </c>
      <c r="E90" s="137" t="s">
        <v>28</v>
      </c>
      <c r="F90" s="138">
        <v>2.59</v>
      </c>
      <c r="G90" s="138">
        <v>218.22</v>
      </c>
      <c r="H90" s="137" t="s">
        <v>349</v>
      </c>
      <c r="I90" s="193" t="s">
        <v>350</v>
      </c>
      <c r="J90" s="196" t="str">
        <f t="shared" si="2"/>
        <v>Venta</v>
      </c>
      <c r="K90" s="196" t="str">
        <f t="shared" si="3"/>
        <v>SI</v>
      </c>
    </row>
    <row r="91" spans="1:11" x14ac:dyDescent="0.25">
      <c r="A91" s="139" t="s">
        <v>354</v>
      </c>
      <c r="B91" s="139" t="s">
        <v>348</v>
      </c>
      <c r="C91" s="140">
        <v>73</v>
      </c>
      <c r="D91" s="139" t="s">
        <v>311</v>
      </c>
      <c r="E91" s="139" t="s">
        <v>28</v>
      </c>
      <c r="F91" s="140">
        <v>202.68</v>
      </c>
      <c r="G91" s="140">
        <v>2465.67</v>
      </c>
      <c r="H91" s="139" t="s">
        <v>349</v>
      </c>
      <c r="I91" s="194" t="s">
        <v>350</v>
      </c>
      <c r="J91" s="196" t="str">
        <f t="shared" si="2"/>
        <v>Compra</v>
      </c>
      <c r="K91" s="196" t="str">
        <f t="shared" si="3"/>
        <v>NO</v>
      </c>
    </row>
    <row r="92" spans="1:11" x14ac:dyDescent="0.25">
      <c r="A92" s="137" t="s">
        <v>354</v>
      </c>
      <c r="B92" s="137" t="s">
        <v>348</v>
      </c>
      <c r="C92" s="138">
        <v>74</v>
      </c>
      <c r="D92" s="137" t="s">
        <v>347</v>
      </c>
      <c r="E92" s="137" t="s">
        <v>28</v>
      </c>
      <c r="F92" s="138">
        <v>202.68</v>
      </c>
      <c r="G92" s="138">
        <v>2465.67</v>
      </c>
      <c r="H92" s="137" t="s">
        <v>349</v>
      </c>
      <c r="I92" s="193" t="s">
        <v>350</v>
      </c>
      <c r="J92" s="196" t="str">
        <f t="shared" si="2"/>
        <v>Compra</v>
      </c>
      <c r="K92" s="196" t="str">
        <f t="shared" si="3"/>
        <v>SI</v>
      </c>
    </row>
    <row r="93" spans="1:11" x14ac:dyDescent="0.25">
      <c r="A93" s="139" t="s">
        <v>354</v>
      </c>
      <c r="B93" s="139" t="s">
        <v>348</v>
      </c>
      <c r="C93" s="140">
        <v>75</v>
      </c>
      <c r="D93" s="139" t="s">
        <v>313</v>
      </c>
      <c r="E93" s="139" t="s">
        <v>28</v>
      </c>
      <c r="F93" s="140">
        <v>940.9</v>
      </c>
      <c r="G93" s="140">
        <v>6217.48</v>
      </c>
      <c r="H93" s="139" t="s">
        <v>349</v>
      </c>
      <c r="I93" s="194" t="s">
        <v>350</v>
      </c>
      <c r="J93" s="196" t="str">
        <f t="shared" si="2"/>
        <v>Venta</v>
      </c>
      <c r="K93" s="196" t="str">
        <f t="shared" si="3"/>
        <v>NO</v>
      </c>
    </row>
    <row r="94" spans="1:11" x14ac:dyDescent="0.25">
      <c r="A94" s="137" t="s">
        <v>354</v>
      </c>
      <c r="B94" s="137" t="s">
        <v>348</v>
      </c>
      <c r="C94" s="138">
        <v>76</v>
      </c>
      <c r="D94" s="137" t="s">
        <v>347</v>
      </c>
      <c r="E94" s="137" t="s">
        <v>28</v>
      </c>
      <c r="F94" s="138">
        <v>940.9</v>
      </c>
      <c r="G94" s="138">
        <v>6217.48</v>
      </c>
      <c r="H94" s="137" t="s">
        <v>349</v>
      </c>
      <c r="I94" s="193" t="s">
        <v>350</v>
      </c>
      <c r="J94" s="196" t="str">
        <f t="shared" si="2"/>
        <v>Venta</v>
      </c>
      <c r="K94" s="196" t="str">
        <f t="shared" si="3"/>
        <v>SI</v>
      </c>
    </row>
    <row r="95" spans="1:11" x14ac:dyDescent="0.25">
      <c r="A95" s="139" t="s">
        <v>354</v>
      </c>
      <c r="B95" s="139" t="s">
        <v>348</v>
      </c>
      <c r="C95" s="140">
        <v>77</v>
      </c>
      <c r="D95" s="139" t="s">
        <v>314</v>
      </c>
      <c r="E95" s="139" t="s">
        <v>28</v>
      </c>
      <c r="F95" s="140">
        <v>20.190000000000001</v>
      </c>
      <c r="G95" s="140">
        <v>28.04</v>
      </c>
      <c r="H95" s="139" t="s">
        <v>349</v>
      </c>
      <c r="I95" s="194" t="s">
        <v>350</v>
      </c>
      <c r="J95" s="196" t="str">
        <f t="shared" si="2"/>
        <v>Compra</v>
      </c>
      <c r="K95" s="196" t="str">
        <f t="shared" si="3"/>
        <v>NO</v>
      </c>
    </row>
    <row r="96" spans="1:11" x14ac:dyDescent="0.25">
      <c r="A96" s="137" t="s">
        <v>354</v>
      </c>
      <c r="B96" s="137" t="s">
        <v>348</v>
      </c>
      <c r="C96" s="138">
        <v>78</v>
      </c>
      <c r="D96" s="137" t="s">
        <v>351</v>
      </c>
      <c r="E96" s="137" t="s">
        <v>28</v>
      </c>
      <c r="F96" s="138">
        <v>20.190000000000001</v>
      </c>
      <c r="G96" s="138">
        <v>28.04</v>
      </c>
      <c r="H96" s="137" t="s">
        <v>349</v>
      </c>
      <c r="I96" s="193" t="s">
        <v>350</v>
      </c>
      <c r="J96" s="196" t="str">
        <f t="shared" si="2"/>
        <v>Compra</v>
      </c>
      <c r="K96" s="196" t="str">
        <f t="shared" si="3"/>
        <v>SI</v>
      </c>
    </row>
    <row r="97" spans="1:11" x14ac:dyDescent="0.25">
      <c r="A97" s="139" t="s">
        <v>354</v>
      </c>
      <c r="B97" s="139" t="s">
        <v>348</v>
      </c>
      <c r="C97" s="140">
        <v>79</v>
      </c>
      <c r="D97" s="139" t="s">
        <v>316</v>
      </c>
      <c r="E97" s="139" t="s">
        <v>28</v>
      </c>
      <c r="F97" s="140"/>
      <c r="G97" s="140">
        <v>343.17</v>
      </c>
      <c r="H97" s="139" t="s">
        <v>349</v>
      </c>
      <c r="I97" s="194" t="s">
        <v>350</v>
      </c>
      <c r="J97" s="196" t="str">
        <f t="shared" si="2"/>
        <v>Venta</v>
      </c>
      <c r="K97" s="196" t="str">
        <f t="shared" si="3"/>
        <v>NO</v>
      </c>
    </row>
    <row r="98" spans="1:11" x14ac:dyDescent="0.25">
      <c r="A98" s="137" t="s">
        <v>354</v>
      </c>
      <c r="B98" s="137" t="s">
        <v>348</v>
      </c>
      <c r="C98" s="138">
        <v>80</v>
      </c>
      <c r="D98" s="137" t="s">
        <v>351</v>
      </c>
      <c r="E98" s="137" t="s">
        <v>28</v>
      </c>
      <c r="F98" s="138"/>
      <c r="G98" s="138">
        <v>343.17</v>
      </c>
      <c r="H98" s="137" t="s">
        <v>349</v>
      </c>
      <c r="I98" s="193" t="s">
        <v>350</v>
      </c>
      <c r="J98" s="196" t="str">
        <f t="shared" si="2"/>
        <v>Venta</v>
      </c>
      <c r="K98" s="196" t="str">
        <f t="shared" si="3"/>
        <v>SI</v>
      </c>
    </row>
    <row r="99" spans="1:11" x14ac:dyDescent="0.25">
      <c r="A99" s="139" t="s">
        <v>369</v>
      </c>
      <c r="B99" s="139" t="s">
        <v>348</v>
      </c>
      <c r="C99" s="140">
        <v>81</v>
      </c>
      <c r="D99" s="139" t="s">
        <v>311</v>
      </c>
      <c r="E99" s="139" t="s">
        <v>28</v>
      </c>
      <c r="F99" s="140">
        <v>2.16</v>
      </c>
      <c r="G99" s="140">
        <v>26.82</v>
      </c>
      <c r="H99" s="139" t="s">
        <v>349</v>
      </c>
      <c r="I99" s="194" t="s">
        <v>350</v>
      </c>
      <c r="J99" s="196" t="str">
        <f t="shared" si="2"/>
        <v>Compra</v>
      </c>
      <c r="K99" s="196" t="str">
        <f t="shared" si="3"/>
        <v>NO</v>
      </c>
    </row>
    <row r="100" spans="1:11" x14ac:dyDescent="0.25">
      <c r="A100" s="137" t="s">
        <v>369</v>
      </c>
      <c r="B100" s="137" t="s">
        <v>348</v>
      </c>
      <c r="C100" s="138">
        <v>82</v>
      </c>
      <c r="D100" s="137" t="s">
        <v>347</v>
      </c>
      <c r="E100" s="137" t="s">
        <v>28</v>
      </c>
      <c r="F100" s="138">
        <v>2.16</v>
      </c>
      <c r="G100" s="138">
        <v>26.82</v>
      </c>
      <c r="H100" s="137" t="s">
        <v>349</v>
      </c>
      <c r="I100" s="193" t="s">
        <v>350</v>
      </c>
      <c r="J100" s="196" t="str">
        <f t="shared" si="2"/>
        <v>Compra</v>
      </c>
      <c r="K100" s="196" t="str">
        <f t="shared" si="3"/>
        <v>SI</v>
      </c>
    </row>
    <row r="101" spans="1:11" x14ac:dyDescent="0.25">
      <c r="A101" s="139" t="s">
        <v>369</v>
      </c>
      <c r="B101" s="139" t="s">
        <v>348</v>
      </c>
      <c r="C101" s="140">
        <v>83</v>
      </c>
      <c r="D101" s="139" t="s">
        <v>313</v>
      </c>
      <c r="E101" s="139" t="s">
        <v>28</v>
      </c>
      <c r="F101" s="140">
        <v>1.54</v>
      </c>
      <c r="G101" s="140">
        <v>188.48</v>
      </c>
      <c r="H101" s="139" t="s">
        <v>349</v>
      </c>
      <c r="I101" s="194" t="s">
        <v>350</v>
      </c>
      <c r="J101" s="196" t="str">
        <f t="shared" si="2"/>
        <v>Venta</v>
      </c>
      <c r="K101" s="196" t="str">
        <f t="shared" si="3"/>
        <v>NO</v>
      </c>
    </row>
    <row r="102" spans="1:11" x14ac:dyDescent="0.25">
      <c r="A102" s="137" t="s">
        <v>369</v>
      </c>
      <c r="B102" s="137" t="s">
        <v>348</v>
      </c>
      <c r="C102" s="138">
        <v>84</v>
      </c>
      <c r="D102" s="137" t="s">
        <v>347</v>
      </c>
      <c r="E102" s="137" t="s">
        <v>28</v>
      </c>
      <c r="F102" s="138">
        <v>1.54</v>
      </c>
      <c r="G102" s="138">
        <v>188.48</v>
      </c>
      <c r="H102" s="137" t="s">
        <v>349</v>
      </c>
      <c r="I102" s="193" t="s">
        <v>350</v>
      </c>
      <c r="J102" s="196" t="str">
        <f t="shared" si="2"/>
        <v>Venta</v>
      </c>
      <c r="K102" s="196" t="str">
        <f t="shared" si="3"/>
        <v>SI</v>
      </c>
    </row>
    <row r="103" spans="1:11" x14ac:dyDescent="0.25">
      <c r="A103" s="139" t="s">
        <v>378</v>
      </c>
      <c r="B103" s="139" t="s">
        <v>348</v>
      </c>
      <c r="C103" s="140">
        <v>85</v>
      </c>
      <c r="D103" s="139" t="s">
        <v>311</v>
      </c>
      <c r="E103" s="139" t="s">
        <v>28</v>
      </c>
      <c r="F103" s="140">
        <v>5.23</v>
      </c>
      <c r="G103" s="140">
        <v>136.65</v>
      </c>
      <c r="H103" s="139" t="s">
        <v>349</v>
      </c>
      <c r="I103" s="194" t="s">
        <v>350</v>
      </c>
      <c r="J103" s="196" t="str">
        <f t="shared" si="2"/>
        <v>Compra</v>
      </c>
      <c r="K103" s="196" t="str">
        <f t="shared" si="3"/>
        <v>NO</v>
      </c>
    </row>
    <row r="104" spans="1:11" x14ac:dyDescent="0.25">
      <c r="A104" s="137" t="s">
        <v>378</v>
      </c>
      <c r="B104" s="137" t="s">
        <v>348</v>
      </c>
      <c r="C104" s="138">
        <v>86</v>
      </c>
      <c r="D104" s="137" t="s">
        <v>347</v>
      </c>
      <c r="E104" s="137" t="s">
        <v>28</v>
      </c>
      <c r="F104" s="138">
        <v>5.23</v>
      </c>
      <c r="G104" s="138">
        <v>136.65</v>
      </c>
      <c r="H104" s="137" t="s">
        <v>349</v>
      </c>
      <c r="I104" s="193" t="s">
        <v>350</v>
      </c>
      <c r="J104" s="196" t="str">
        <f t="shared" si="2"/>
        <v>Compra</v>
      </c>
      <c r="K104" s="196" t="str">
        <f t="shared" si="3"/>
        <v>SI</v>
      </c>
    </row>
    <row r="105" spans="1:11" x14ac:dyDescent="0.25">
      <c r="A105" s="139" t="s">
        <v>378</v>
      </c>
      <c r="B105" s="139" t="s">
        <v>348</v>
      </c>
      <c r="C105" s="140">
        <v>87</v>
      </c>
      <c r="D105" s="139" t="s">
        <v>313</v>
      </c>
      <c r="E105" s="139" t="s">
        <v>28</v>
      </c>
      <c r="F105" s="140">
        <v>4.59</v>
      </c>
      <c r="G105" s="140">
        <v>221.34</v>
      </c>
      <c r="H105" s="139" t="s">
        <v>349</v>
      </c>
      <c r="I105" s="194" t="s">
        <v>350</v>
      </c>
      <c r="J105" s="196" t="str">
        <f t="shared" si="2"/>
        <v>Venta</v>
      </c>
      <c r="K105" s="196" t="str">
        <f t="shared" si="3"/>
        <v>NO</v>
      </c>
    </row>
    <row r="106" spans="1:11" x14ac:dyDescent="0.25">
      <c r="A106" s="137" t="s">
        <v>378</v>
      </c>
      <c r="B106" s="137" t="s">
        <v>348</v>
      </c>
      <c r="C106" s="138">
        <v>88</v>
      </c>
      <c r="D106" s="137" t="s">
        <v>347</v>
      </c>
      <c r="E106" s="137" t="s">
        <v>28</v>
      </c>
      <c r="F106" s="138">
        <v>4.59</v>
      </c>
      <c r="G106" s="138">
        <v>221.34</v>
      </c>
      <c r="H106" s="137" t="s">
        <v>349</v>
      </c>
      <c r="I106" s="193" t="s">
        <v>350</v>
      </c>
      <c r="J106" s="196" t="str">
        <f t="shared" si="2"/>
        <v>Venta</v>
      </c>
      <c r="K106" s="196" t="str">
        <f t="shared" si="3"/>
        <v>SI</v>
      </c>
    </row>
    <row r="107" spans="1:11" x14ac:dyDescent="0.25">
      <c r="A107" s="139" t="s">
        <v>373</v>
      </c>
      <c r="B107" s="139" t="s">
        <v>348</v>
      </c>
      <c r="C107" s="140">
        <v>89</v>
      </c>
      <c r="D107" s="139" t="s">
        <v>311</v>
      </c>
      <c r="E107" s="139" t="s">
        <v>28</v>
      </c>
      <c r="F107" s="140"/>
      <c r="G107" s="140">
        <v>46.43</v>
      </c>
      <c r="H107" s="139" t="s">
        <v>349</v>
      </c>
      <c r="I107" s="194" t="s">
        <v>350</v>
      </c>
      <c r="J107" s="196" t="str">
        <f t="shared" si="2"/>
        <v>Compra</v>
      </c>
      <c r="K107" s="196" t="str">
        <f t="shared" si="3"/>
        <v>NO</v>
      </c>
    </row>
    <row r="108" spans="1:11" x14ac:dyDescent="0.25">
      <c r="A108" s="137" t="s">
        <v>373</v>
      </c>
      <c r="B108" s="137" t="s">
        <v>348</v>
      </c>
      <c r="C108" s="138">
        <v>90</v>
      </c>
      <c r="D108" s="137" t="s">
        <v>347</v>
      </c>
      <c r="E108" s="137" t="s">
        <v>28</v>
      </c>
      <c r="F108" s="138"/>
      <c r="G108" s="138">
        <v>46.43</v>
      </c>
      <c r="H108" s="137" t="s">
        <v>349</v>
      </c>
      <c r="I108" s="193" t="s">
        <v>350</v>
      </c>
      <c r="J108" s="196" t="str">
        <f t="shared" si="2"/>
        <v>Compra</v>
      </c>
      <c r="K108" s="196" t="str">
        <f t="shared" si="3"/>
        <v>SI</v>
      </c>
    </row>
    <row r="109" spans="1:11" x14ac:dyDescent="0.25">
      <c r="A109" s="139" t="s">
        <v>373</v>
      </c>
      <c r="B109" s="139" t="s">
        <v>348</v>
      </c>
      <c r="C109" s="140">
        <v>91</v>
      </c>
      <c r="D109" s="139" t="s">
        <v>313</v>
      </c>
      <c r="E109" s="139" t="s">
        <v>28</v>
      </c>
      <c r="F109" s="140"/>
      <c r="G109" s="140">
        <v>124.58</v>
      </c>
      <c r="H109" s="139" t="s">
        <v>349</v>
      </c>
      <c r="I109" s="194" t="s">
        <v>350</v>
      </c>
      <c r="J109" s="196" t="str">
        <f t="shared" si="2"/>
        <v>Venta</v>
      </c>
      <c r="K109" s="196" t="str">
        <f t="shared" si="3"/>
        <v>NO</v>
      </c>
    </row>
    <row r="110" spans="1:11" x14ac:dyDescent="0.25">
      <c r="A110" s="137" t="s">
        <v>373</v>
      </c>
      <c r="B110" s="137" t="s">
        <v>348</v>
      </c>
      <c r="C110" s="138">
        <v>92</v>
      </c>
      <c r="D110" s="137" t="s">
        <v>347</v>
      </c>
      <c r="E110" s="137" t="s">
        <v>28</v>
      </c>
      <c r="F110" s="138"/>
      <c r="G110" s="138">
        <v>124.58</v>
      </c>
      <c r="H110" s="137" t="s">
        <v>349</v>
      </c>
      <c r="I110" s="193" t="s">
        <v>350</v>
      </c>
      <c r="J110" s="196" t="str">
        <f t="shared" si="2"/>
        <v>Venta</v>
      </c>
      <c r="K110" s="196" t="str">
        <f t="shared" si="3"/>
        <v>SI</v>
      </c>
    </row>
    <row r="111" spans="1:11" x14ac:dyDescent="0.25">
      <c r="A111" s="139" t="s">
        <v>373</v>
      </c>
      <c r="B111" s="139" t="s">
        <v>348</v>
      </c>
      <c r="C111" s="140">
        <v>93</v>
      </c>
      <c r="D111" s="139" t="s">
        <v>316</v>
      </c>
      <c r="E111" s="139" t="s">
        <v>28</v>
      </c>
      <c r="F111" s="140"/>
      <c r="G111" s="140">
        <v>44.24</v>
      </c>
      <c r="H111" s="139" t="s">
        <v>349</v>
      </c>
      <c r="I111" s="194" t="s">
        <v>350</v>
      </c>
      <c r="J111" s="196" t="str">
        <f t="shared" si="2"/>
        <v>Venta</v>
      </c>
      <c r="K111" s="196" t="str">
        <f t="shared" si="3"/>
        <v>NO</v>
      </c>
    </row>
    <row r="112" spans="1:11" x14ac:dyDescent="0.25">
      <c r="A112" s="137" t="s">
        <v>373</v>
      </c>
      <c r="B112" s="137" t="s">
        <v>348</v>
      </c>
      <c r="C112" s="138">
        <v>94</v>
      </c>
      <c r="D112" s="137" t="s">
        <v>351</v>
      </c>
      <c r="E112" s="137" t="s">
        <v>28</v>
      </c>
      <c r="F112" s="138"/>
      <c r="G112" s="138">
        <v>44.24</v>
      </c>
      <c r="H112" s="137" t="s">
        <v>349</v>
      </c>
      <c r="I112" s="193" t="s">
        <v>350</v>
      </c>
      <c r="J112" s="196" t="str">
        <f t="shared" si="2"/>
        <v>Venta</v>
      </c>
      <c r="K112" s="196" t="str">
        <f t="shared" si="3"/>
        <v>SI</v>
      </c>
    </row>
    <row r="113" spans="1:11" x14ac:dyDescent="0.25">
      <c r="A113" s="139" t="s">
        <v>379</v>
      </c>
      <c r="B113" s="139" t="s">
        <v>348</v>
      </c>
      <c r="C113" s="140">
        <v>95</v>
      </c>
      <c r="D113" s="139" t="s">
        <v>311</v>
      </c>
      <c r="E113" s="139" t="s">
        <v>28</v>
      </c>
      <c r="F113" s="140">
        <v>0.56000000000000005</v>
      </c>
      <c r="G113" s="140">
        <v>110.84</v>
      </c>
      <c r="H113" s="139" t="s">
        <v>349</v>
      </c>
      <c r="I113" s="194" t="s">
        <v>350</v>
      </c>
      <c r="J113" s="196" t="str">
        <f t="shared" si="2"/>
        <v>Compra</v>
      </c>
      <c r="K113" s="196" t="str">
        <f t="shared" si="3"/>
        <v>NO</v>
      </c>
    </row>
    <row r="114" spans="1:11" x14ac:dyDescent="0.25">
      <c r="A114" s="137" t="s">
        <v>379</v>
      </c>
      <c r="B114" s="137" t="s">
        <v>348</v>
      </c>
      <c r="C114" s="138">
        <v>96</v>
      </c>
      <c r="D114" s="137" t="s">
        <v>347</v>
      </c>
      <c r="E114" s="137" t="s">
        <v>28</v>
      </c>
      <c r="F114" s="138">
        <v>0.56000000000000005</v>
      </c>
      <c r="G114" s="138">
        <v>110.84</v>
      </c>
      <c r="H114" s="137" t="s">
        <v>349</v>
      </c>
      <c r="I114" s="193" t="s">
        <v>350</v>
      </c>
      <c r="J114" s="196" t="str">
        <f t="shared" si="2"/>
        <v>Compra</v>
      </c>
      <c r="K114" s="196" t="str">
        <f t="shared" si="3"/>
        <v>SI</v>
      </c>
    </row>
    <row r="115" spans="1:11" x14ac:dyDescent="0.25">
      <c r="A115" s="139" t="s">
        <v>379</v>
      </c>
      <c r="B115" s="139" t="s">
        <v>348</v>
      </c>
      <c r="C115" s="140">
        <v>97</v>
      </c>
      <c r="D115" s="139" t="s">
        <v>313</v>
      </c>
      <c r="E115" s="139" t="s">
        <v>28</v>
      </c>
      <c r="F115" s="140"/>
      <c r="G115" s="140">
        <v>71.42</v>
      </c>
      <c r="H115" s="139" t="s">
        <v>349</v>
      </c>
      <c r="I115" s="194" t="s">
        <v>350</v>
      </c>
      <c r="J115" s="196" t="str">
        <f t="shared" si="2"/>
        <v>Venta</v>
      </c>
      <c r="K115" s="196" t="str">
        <f t="shared" si="3"/>
        <v>NO</v>
      </c>
    </row>
    <row r="116" spans="1:11" x14ac:dyDescent="0.25">
      <c r="A116" s="137" t="s">
        <v>379</v>
      </c>
      <c r="B116" s="137" t="s">
        <v>348</v>
      </c>
      <c r="C116" s="138">
        <v>98</v>
      </c>
      <c r="D116" s="137" t="s">
        <v>347</v>
      </c>
      <c r="E116" s="137" t="s">
        <v>28</v>
      </c>
      <c r="F116" s="138"/>
      <c r="G116" s="138">
        <v>71.42</v>
      </c>
      <c r="H116" s="137" t="s">
        <v>349</v>
      </c>
      <c r="I116" s="193" t="s">
        <v>350</v>
      </c>
      <c r="J116" s="196" t="str">
        <f t="shared" si="2"/>
        <v>Venta</v>
      </c>
      <c r="K116" s="196" t="str">
        <f t="shared" si="3"/>
        <v>SI</v>
      </c>
    </row>
    <row r="117" spans="1:11" x14ac:dyDescent="0.25">
      <c r="A117" s="139" t="s">
        <v>372</v>
      </c>
      <c r="B117" s="139" t="s">
        <v>348</v>
      </c>
      <c r="C117" s="140">
        <v>99</v>
      </c>
      <c r="D117" s="139" t="s">
        <v>311</v>
      </c>
      <c r="E117" s="139" t="s">
        <v>28</v>
      </c>
      <c r="F117" s="140"/>
      <c r="G117" s="140">
        <v>92.75</v>
      </c>
      <c r="H117" s="139" t="s">
        <v>349</v>
      </c>
      <c r="I117" s="194" t="s">
        <v>350</v>
      </c>
      <c r="J117" s="196" t="str">
        <f t="shared" si="2"/>
        <v>Compra</v>
      </c>
      <c r="K117" s="196" t="str">
        <f t="shared" si="3"/>
        <v>NO</v>
      </c>
    </row>
    <row r="118" spans="1:11" x14ac:dyDescent="0.25">
      <c r="A118" s="137" t="s">
        <v>372</v>
      </c>
      <c r="B118" s="137" t="s">
        <v>348</v>
      </c>
      <c r="C118" s="138">
        <v>100</v>
      </c>
      <c r="D118" s="137" t="s">
        <v>347</v>
      </c>
      <c r="E118" s="137" t="s">
        <v>28</v>
      </c>
      <c r="F118" s="138"/>
      <c r="G118" s="138">
        <v>92.75</v>
      </c>
      <c r="H118" s="137" t="s">
        <v>349</v>
      </c>
      <c r="I118" s="193" t="s">
        <v>350</v>
      </c>
      <c r="J118" s="196" t="str">
        <f t="shared" si="2"/>
        <v>Compra</v>
      </c>
      <c r="K118" s="196" t="str">
        <f t="shared" si="3"/>
        <v>SI</v>
      </c>
    </row>
    <row r="119" spans="1:11" x14ac:dyDescent="0.25">
      <c r="A119" s="139" t="s">
        <v>372</v>
      </c>
      <c r="B119" s="139" t="s">
        <v>348</v>
      </c>
      <c r="C119" s="140">
        <v>101</v>
      </c>
      <c r="D119" s="139" t="s">
        <v>313</v>
      </c>
      <c r="E119" s="139" t="s">
        <v>28</v>
      </c>
      <c r="F119" s="140"/>
      <c r="G119" s="140">
        <v>76.3</v>
      </c>
      <c r="H119" s="139" t="s">
        <v>349</v>
      </c>
      <c r="I119" s="194" t="s">
        <v>350</v>
      </c>
      <c r="J119" s="196" t="str">
        <f t="shared" si="2"/>
        <v>Venta</v>
      </c>
      <c r="K119" s="196" t="str">
        <f t="shared" si="3"/>
        <v>NO</v>
      </c>
    </row>
    <row r="120" spans="1:11" x14ac:dyDescent="0.25">
      <c r="A120" s="137" t="s">
        <v>372</v>
      </c>
      <c r="B120" s="137" t="s">
        <v>348</v>
      </c>
      <c r="C120" s="138">
        <v>102</v>
      </c>
      <c r="D120" s="137" t="s">
        <v>347</v>
      </c>
      <c r="E120" s="137" t="s">
        <v>28</v>
      </c>
      <c r="F120" s="138"/>
      <c r="G120" s="138">
        <v>76.3</v>
      </c>
      <c r="H120" s="137" t="s">
        <v>349</v>
      </c>
      <c r="I120" s="193" t="s">
        <v>350</v>
      </c>
      <c r="J120" s="196" t="str">
        <f t="shared" si="2"/>
        <v>Venta</v>
      </c>
      <c r="K120" s="196" t="str">
        <f t="shared" si="3"/>
        <v>SI</v>
      </c>
    </row>
    <row r="121" spans="1:11" x14ac:dyDescent="0.25">
      <c r="A121" s="139" t="s">
        <v>374</v>
      </c>
      <c r="B121" s="139" t="s">
        <v>348</v>
      </c>
      <c r="C121" s="140">
        <v>103</v>
      </c>
      <c r="D121" s="139" t="s">
        <v>313</v>
      </c>
      <c r="E121" s="139" t="s">
        <v>28</v>
      </c>
      <c r="F121" s="140"/>
      <c r="G121" s="140">
        <v>334.59</v>
      </c>
      <c r="H121" s="139" t="s">
        <v>349</v>
      </c>
      <c r="I121" s="194" t="s">
        <v>350</v>
      </c>
      <c r="J121" s="196" t="str">
        <f t="shared" si="2"/>
        <v>Venta</v>
      </c>
      <c r="K121" s="196" t="str">
        <f t="shared" si="3"/>
        <v>NO</v>
      </c>
    </row>
    <row r="122" spans="1:11" x14ac:dyDescent="0.25">
      <c r="A122" s="137" t="s">
        <v>374</v>
      </c>
      <c r="B122" s="137" t="s">
        <v>348</v>
      </c>
      <c r="C122" s="138">
        <v>104</v>
      </c>
      <c r="D122" s="137" t="s">
        <v>347</v>
      </c>
      <c r="E122" s="137" t="s">
        <v>28</v>
      </c>
      <c r="F122" s="138"/>
      <c r="G122" s="138">
        <v>334.59</v>
      </c>
      <c r="H122" s="137" t="s">
        <v>349</v>
      </c>
      <c r="I122" s="193" t="s">
        <v>350</v>
      </c>
      <c r="J122" s="196" t="str">
        <f t="shared" si="2"/>
        <v>Venta</v>
      </c>
      <c r="K122" s="196" t="str">
        <f t="shared" si="3"/>
        <v>SI</v>
      </c>
    </row>
    <row r="123" spans="1:11" x14ac:dyDescent="0.25">
      <c r="A123" s="139" t="s">
        <v>363</v>
      </c>
      <c r="B123" s="139" t="s">
        <v>348</v>
      </c>
      <c r="C123" s="140">
        <v>105</v>
      </c>
      <c r="D123" s="139" t="s">
        <v>313</v>
      </c>
      <c r="E123" s="139" t="s">
        <v>28</v>
      </c>
      <c r="F123" s="140"/>
      <c r="G123" s="140">
        <v>48.28</v>
      </c>
      <c r="H123" s="139" t="s">
        <v>349</v>
      </c>
      <c r="I123" s="194" t="s">
        <v>350</v>
      </c>
      <c r="J123" s="196" t="str">
        <f t="shared" si="2"/>
        <v>Venta</v>
      </c>
      <c r="K123" s="196" t="str">
        <f t="shared" si="3"/>
        <v>NO</v>
      </c>
    </row>
    <row r="124" spans="1:11" x14ac:dyDescent="0.25">
      <c r="A124" s="137" t="s">
        <v>363</v>
      </c>
      <c r="B124" s="137" t="s">
        <v>348</v>
      </c>
      <c r="C124" s="138">
        <v>106</v>
      </c>
      <c r="D124" s="137" t="s">
        <v>347</v>
      </c>
      <c r="E124" s="137" t="s">
        <v>28</v>
      </c>
      <c r="F124" s="138"/>
      <c r="G124" s="138">
        <v>48.28</v>
      </c>
      <c r="H124" s="137" t="s">
        <v>349</v>
      </c>
      <c r="I124" s="193" t="s">
        <v>350</v>
      </c>
      <c r="J124" s="196" t="str">
        <f t="shared" si="2"/>
        <v>Venta</v>
      </c>
      <c r="K124" s="196" t="str">
        <f t="shared" si="3"/>
        <v>SI</v>
      </c>
    </row>
    <row r="125" spans="1:11" x14ac:dyDescent="0.25">
      <c r="A125" s="139" t="s">
        <v>355</v>
      </c>
      <c r="B125" s="139" t="s">
        <v>348</v>
      </c>
      <c r="C125" s="140">
        <v>107</v>
      </c>
      <c r="D125" s="139" t="s">
        <v>311</v>
      </c>
      <c r="E125" s="139" t="s">
        <v>28</v>
      </c>
      <c r="F125" s="140">
        <v>100.85</v>
      </c>
      <c r="G125" s="140">
        <v>760.17</v>
      </c>
      <c r="H125" s="139" t="s">
        <v>349</v>
      </c>
      <c r="I125" s="194" t="s">
        <v>350</v>
      </c>
      <c r="J125" s="196" t="str">
        <f t="shared" si="2"/>
        <v>Compra</v>
      </c>
      <c r="K125" s="196" t="str">
        <f t="shared" si="3"/>
        <v>NO</v>
      </c>
    </row>
    <row r="126" spans="1:11" x14ac:dyDescent="0.25">
      <c r="A126" s="137" t="s">
        <v>355</v>
      </c>
      <c r="B126" s="137" t="s">
        <v>348</v>
      </c>
      <c r="C126" s="138">
        <v>108</v>
      </c>
      <c r="D126" s="137" t="s">
        <v>347</v>
      </c>
      <c r="E126" s="137" t="s">
        <v>28</v>
      </c>
      <c r="F126" s="138">
        <v>100.85</v>
      </c>
      <c r="G126" s="138">
        <v>760.17</v>
      </c>
      <c r="H126" s="137" t="s">
        <v>349</v>
      </c>
      <c r="I126" s="193" t="s">
        <v>350</v>
      </c>
      <c r="J126" s="196" t="str">
        <f t="shared" si="2"/>
        <v>Compra</v>
      </c>
      <c r="K126" s="196" t="str">
        <f t="shared" si="3"/>
        <v>SI</v>
      </c>
    </row>
    <row r="127" spans="1:11" x14ac:dyDescent="0.25">
      <c r="A127" s="139" t="s">
        <v>355</v>
      </c>
      <c r="B127" s="139" t="s">
        <v>348</v>
      </c>
      <c r="C127" s="140">
        <v>109</v>
      </c>
      <c r="D127" s="139" t="s">
        <v>313</v>
      </c>
      <c r="E127" s="139" t="s">
        <v>28</v>
      </c>
      <c r="F127" s="140">
        <v>235.55</v>
      </c>
      <c r="G127" s="140">
        <v>752.67</v>
      </c>
      <c r="H127" s="139" t="s">
        <v>349</v>
      </c>
      <c r="I127" s="194" t="s">
        <v>350</v>
      </c>
      <c r="J127" s="196" t="str">
        <f t="shared" si="2"/>
        <v>Venta</v>
      </c>
      <c r="K127" s="196" t="str">
        <f t="shared" si="3"/>
        <v>NO</v>
      </c>
    </row>
    <row r="128" spans="1:11" x14ac:dyDescent="0.25">
      <c r="A128" s="137" t="s">
        <v>355</v>
      </c>
      <c r="B128" s="137" t="s">
        <v>348</v>
      </c>
      <c r="C128" s="138">
        <v>110</v>
      </c>
      <c r="D128" s="137" t="s">
        <v>347</v>
      </c>
      <c r="E128" s="137" t="s">
        <v>28</v>
      </c>
      <c r="F128" s="138">
        <v>235.55</v>
      </c>
      <c r="G128" s="138">
        <v>752.67</v>
      </c>
      <c r="H128" s="137" t="s">
        <v>349</v>
      </c>
      <c r="I128" s="193" t="s">
        <v>350</v>
      </c>
      <c r="J128" s="196" t="str">
        <f t="shared" si="2"/>
        <v>Venta</v>
      </c>
      <c r="K128" s="196" t="str">
        <f t="shared" si="3"/>
        <v>SI</v>
      </c>
    </row>
    <row r="129" spans="1:11" x14ac:dyDescent="0.25">
      <c r="A129" s="139" t="s">
        <v>355</v>
      </c>
      <c r="B129" s="139" t="s">
        <v>348</v>
      </c>
      <c r="C129" s="140">
        <v>111</v>
      </c>
      <c r="D129" s="139" t="s">
        <v>316</v>
      </c>
      <c r="E129" s="139" t="s">
        <v>28</v>
      </c>
      <c r="F129" s="140">
        <v>75.45</v>
      </c>
      <c r="G129" s="140">
        <v>421.41</v>
      </c>
      <c r="H129" s="139" t="s">
        <v>349</v>
      </c>
      <c r="I129" s="194" t="s">
        <v>350</v>
      </c>
      <c r="J129" s="196" t="str">
        <f t="shared" si="2"/>
        <v>Venta</v>
      </c>
      <c r="K129" s="196" t="str">
        <f t="shared" si="3"/>
        <v>NO</v>
      </c>
    </row>
    <row r="130" spans="1:11" x14ac:dyDescent="0.25">
      <c r="A130" s="137" t="s">
        <v>355</v>
      </c>
      <c r="B130" s="137" t="s">
        <v>348</v>
      </c>
      <c r="C130" s="138">
        <v>112</v>
      </c>
      <c r="D130" s="137" t="s">
        <v>351</v>
      </c>
      <c r="E130" s="137" t="s">
        <v>28</v>
      </c>
      <c r="F130" s="138">
        <v>75.45</v>
      </c>
      <c r="G130" s="138">
        <v>421.41</v>
      </c>
      <c r="H130" s="137" t="s">
        <v>349</v>
      </c>
      <c r="I130" s="193" t="s">
        <v>350</v>
      </c>
      <c r="J130" s="196" t="str">
        <f t="shared" si="2"/>
        <v>Venta</v>
      </c>
      <c r="K130" s="196" t="str">
        <f t="shared" si="3"/>
        <v>SI</v>
      </c>
    </row>
    <row r="131" spans="1:11" x14ac:dyDescent="0.25">
      <c r="A131" s="139" t="s">
        <v>361</v>
      </c>
      <c r="B131" s="139" t="s">
        <v>348</v>
      </c>
      <c r="C131" s="140">
        <v>113</v>
      </c>
      <c r="D131" s="139" t="s">
        <v>311</v>
      </c>
      <c r="E131" s="139" t="s">
        <v>28</v>
      </c>
      <c r="F131" s="140"/>
      <c r="G131" s="140">
        <v>6.54</v>
      </c>
      <c r="H131" s="139" t="s">
        <v>349</v>
      </c>
      <c r="I131" s="194" t="s">
        <v>350</v>
      </c>
      <c r="J131" s="196" t="str">
        <f t="shared" ref="J131:J194" si="4">+IF(D131="WNMC","Compra",IF(D131="WNMV","Venta",IF(D131="WEMC","Compra",IF(D131="WEMV","Venta",IF(D131="WENV","Venta",IF(D131="WENC","Compra",J130))))))</f>
        <v>Compra</v>
      </c>
      <c r="K131" s="196" t="str">
        <f t="shared" ref="K131:K194" si="5">+IF(D131="WNMC","NO",IF(D131="WNMV","NO",IF(D131="WEMC","NO",IF(D131="WEMV","NO",IF(D131="WENV","NO",IF(D131="WENC","NO","SI"))))))</f>
        <v>NO</v>
      </c>
    </row>
    <row r="132" spans="1:11" x14ac:dyDescent="0.25">
      <c r="A132" s="137" t="s">
        <v>361</v>
      </c>
      <c r="B132" s="137" t="s">
        <v>348</v>
      </c>
      <c r="C132" s="138">
        <v>114</v>
      </c>
      <c r="D132" s="137" t="s">
        <v>347</v>
      </c>
      <c r="E132" s="137" t="s">
        <v>28</v>
      </c>
      <c r="F132" s="138"/>
      <c r="G132" s="138">
        <v>6.54</v>
      </c>
      <c r="H132" s="137" t="s">
        <v>349</v>
      </c>
      <c r="I132" s="193" t="s">
        <v>350</v>
      </c>
      <c r="J132" s="196" t="str">
        <f t="shared" si="4"/>
        <v>Compra</v>
      </c>
      <c r="K132" s="196" t="str">
        <f t="shared" si="5"/>
        <v>SI</v>
      </c>
    </row>
    <row r="133" spans="1:11" x14ac:dyDescent="0.25">
      <c r="A133" s="139" t="s">
        <v>361</v>
      </c>
      <c r="B133" s="139" t="s">
        <v>348</v>
      </c>
      <c r="C133" s="140">
        <v>115</v>
      </c>
      <c r="D133" s="139" t="s">
        <v>313</v>
      </c>
      <c r="E133" s="139" t="s">
        <v>28</v>
      </c>
      <c r="F133" s="140"/>
      <c r="G133" s="140">
        <v>38.71</v>
      </c>
      <c r="H133" s="139" t="s">
        <v>349</v>
      </c>
      <c r="I133" s="194" t="s">
        <v>350</v>
      </c>
      <c r="J133" s="196" t="str">
        <f t="shared" si="4"/>
        <v>Venta</v>
      </c>
      <c r="K133" s="196" t="str">
        <f t="shared" si="5"/>
        <v>NO</v>
      </c>
    </row>
    <row r="134" spans="1:11" x14ac:dyDescent="0.25">
      <c r="A134" s="137" t="s">
        <v>361</v>
      </c>
      <c r="B134" s="137" t="s">
        <v>348</v>
      </c>
      <c r="C134" s="138">
        <v>116</v>
      </c>
      <c r="D134" s="137" t="s">
        <v>347</v>
      </c>
      <c r="E134" s="137" t="s">
        <v>28</v>
      </c>
      <c r="F134" s="138"/>
      <c r="G134" s="138">
        <v>38.71</v>
      </c>
      <c r="H134" s="137" t="s">
        <v>349</v>
      </c>
      <c r="I134" s="193" t="s">
        <v>350</v>
      </c>
      <c r="J134" s="196" t="str">
        <f t="shared" si="4"/>
        <v>Venta</v>
      </c>
      <c r="K134" s="196" t="str">
        <f t="shared" si="5"/>
        <v>SI</v>
      </c>
    </row>
    <row r="135" spans="1:11" x14ac:dyDescent="0.25">
      <c r="A135" s="139" t="s">
        <v>357</v>
      </c>
      <c r="B135" s="139" t="s">
        <v>348</v>
      </c>
      <c r="C135" s="140">
        <v>117</v>
      </c>
      <c r="D135" s="139" t="s">
        <v>311</v>
      </c>
      <c r="E135" s="139" t="s">
        <v>28</v>
      </c>
      <c r="F135" s="140"/>
      <c r="G135" s="140">
        <v>26.81</v>
      </c>
      <c r="H135" s="139" t="s">
        <v>349</v>
      </c>
      <c r="I135" s="194" t="s">
        <v>350</v>
      </c>
      <c r="J135" s="196" t="str">
        <f t="shared" si="4"/>
        <v>Compra</v>
      </c>
      <c r="K135" s="196" t="str">
        <f t="shared" si="5"/>
        <v>NO</v>
      </c>
    </row>
    <row r="136" spans="1:11" x14ac:dyDescent="0.25">
      <c r="A136" s="137" t="s">
        <v>357</v>
      </c>
      <c r="B136" s="137" t="s">
        <v>348</v>
      </c>
      <c r="C136" s="138">
        <v>118</v>
      </c>
      <c r="D136" s="137" t="s">
        <v>347</v>
      </c>
      <c r="E136" s="137" t="s">
        <v>28</v>
      </c>
      <c r="F136" s="138"/>
      <c r="G136" s="138">
        <v>26.81</v>
      </c>
      <c r="H136" s="137" t="s">
        <v>349</v>
      </c>
      <c r="I136" s="193" t="s">
        <v>350</v>
      </c>
      <c r="J136" s="196" t="str">
        <f t="shared" si="4"/>
        <v>Compra</v>
      </c>
      <c r="K136" s="196" t="str">
        <f t="shared" si="5"/>
        <v>SI</v>
      </c>
    </row>
    <row r="137" spans="1:11" x14ac:dyDescent="0.25">
      <c r="A137" s="139" t="s">
        <v>360</v>
      </c>
      <c r="B137" s="139" t="s">
        <v>348</v>
      </c>
      <c r="C137" s="140">
        <v>119</v>
      </c>
      <c r="D137" s="139" t="s">
        <v>313</v>
      </c>
      <c r="E137" s="139" t="s">
        <v>28</v>
      </c>
      <c r="F137" s="140"/>
      <c r="G137" s="140">
        <v>79.97</v>
      </c>
      <c r="H137" s="139" t="s">
        <v>349</v>
      </c>
      <c r="I137" s="194" t="s">
        <v>350</v>
      </c>
      <c r="J137" s="196" t="str">
        <f t="shared" si="4"/>
        <v>Venta</v>
      </c>
      <c r="K137" s="196" t="str">
        <f t="shared" si="5"/>
        <v>NO</v>
      </c>
    </row>
    <row r="138" spans="1:11" x14ac:dyDescent="0.25">
      <c r="A138" s="137" t="s">
        <v>360</v>
      </c>
      <c r="B138" s="137" t="s">
        <v>348</v>
      </c>
      <c r="C138" s="138">
        <v>120</v>
      </c>
      <c r="D138" s="137" t="s">
        <v>347</v>
      </c>
      <c r="E138" s="137" t="s">
        <v>28</v>
      </c>
      <c r="F138" s="138"/>
      <c r="G138" s="138">
        <v>79.97</v>
      </c>
      <c r="H138" s="137" t="s">
        <v>349</v>
      </c>
      <c r="I138" s="193" t="s">
        <v>350</v>
      </c>
      <c r="J138" s="196" t="str">
        <f t="shared" si="4"/>
        <v>Venta</v>
      </c>
      <c r="K138" s="196" t="str">
        <f t="shared" si="5"/>
        <v>SI</v>
      </c>
    </row>
    <row r="139" spans="1:11" x14ac:dyDescent="0.25">
      <c r="A139" s="139" t="s">
        <v>358</v>
      </c>
      <c r="B139" s="139" t="s">
        <v>348</v>
      </c>
      <c r="C139" s="140">
        <v>121</v>
      </c>
      <c r="D139" s="139" t="s">
        <v>311</v>
      </c>
      <c r="E139" s="139" t="s">
        <v>28</v>
      </c>
      <c r="F139" s="140">
        <v>5.33</v>
      </c>
      <c r="G139" s="140">
        <v>43.98</v>
      </c>
      <c r="H139" s="139" t="s">
        <v>349</v>
      </c>
      <c r="I139" s="194" t="s">
        <v>350</v>
      </c>
      <c r="J139" s="196" t="str">
        <f t="shared" si="4"/>
        <v>Compra</v>
      </c>
      <c r="K139" s="196" t="str">
        <f t="shared" si="5"/>
        <v>NO</v>
      </c>
    </row>
    <row r="140" spans="1:11" x14ac:dyDescent="0.25">
      <c r="A140" s="137" t="s">
        <v>358</v>
      </c>
      <c r="B140" s="137" t="s">
        <v>348</v>
      </c>
      <c r="C140" s="138">
        <v>122</v>
      </c>
      <c r="D140" s="137" t="s">
        <v>347</v>
      </c>
      <c r="E140" s="137" t="s">
        <v>28</v>
      </c>
      <c r="F140" s="138">
        <v>5.33</v>
      </c>
      <c r="G140" s="138">
        <v>43.98</v>
      </c>
      <c r="H140" s="137" t="s">
        <v>349</v>
      </c>
      <c r="I140" s="193" t="s">
        <v>350</v>
      </c>
      <c r="J140" s="196" t="str">
        <f t="shared" si="4"/>
        <v>Compra</v>
      </c>
      <c r="K140" s="196" t="str">
        <f t="shared" si="5"/>
        <v>SI</v>
      </c>
    </row>
    <row r="141" spans="1:11" x14ac:dyDescent="0.25">
      <c r="A141" s="139" t="s">
        <v>358</v>
      </c>
      <c r="B141" s="139" t="s">
        <v>348</v>
      </c>
      <c r="C141" s="140">
        <v>123</v>
      </c>
      <c r="D141" s="139" t="s">
        <v>313</v>
      </c>
      <c r="E141" s="139" t="s">
        <v>28</v>
      </c>
      <c r="F141" s="140">
        <v>22.83</v>
      </c>
      <c r="G141" s="140">
        <v>136.97</v>
      </c>
      <c r="H141" s="139" t="s">
        <v>349</v>
      </c>
      <c r="I141" s="194" t="s">
        <v>350</v>
      </c>
      <c r="J141" s="196" t="str">
        <f t="shared" si="4"/>
        <v>Venta</v>
      </c>
      <c r="K141" s="196" t="str">
        <f t="shared" si="5"/>
        <v>NO</v>
      </c>
    </row>
    <row r="142" spans="1:11" x14ac:dyDescent="0.25">
      <c r="A142" s="137" t="s">
        <v>358</v>
      </c>
      <c r="B142" s="137" t="s">
        <v>348</v>
      </c>
      <c r="C142" s="138">
        <v>124</v>
      </c>
      <c r="D142" s="137" t="s">
        <v>347</v>
      </c>
      <c r="E142" s="137" t="s">
        <v>28</v>
      </c>
      <c r="F142" s="138">
        <v>22.83</v>
      </c>
      <c r="G142" s="138">
        <v>136.97</v>
      </c>
      <c r="H142" s="137" t="s">
        <v>349</v>
      </c>
      <c r="I142" s="193" t="s">
        <v>350</v>
      </c>
      <c r="J142" s="196" t="str">
        <f t="shared" si="4"/>
        <v>Venta</v>
      </c>
      <c r="K142" s="196" t="str">
        <f t="shared" si="5"/>
        <v>SI</v>
      </c>
    </row>
    <row r="143" spans="1:11" x14ac:dyDescent="0.25">
      <c r="A143" s="139" t="s">
        <v>371</v>
      </c>
      <c r="B143" s="139" t="s">
        <v>348</v>
      </c>
      <c r="C143" s="140">
        <v>125</v>
      </c>
      <c r="D143" s="139" t="s">
        <v>311</v>
      </c>
      <c r="E143" s="139" t="s">
        <v>28</v>
      </c>
      <c r="F143" s="140">
        <v>1.58</v>
      </c>
      <c r="G143" s="140">
        <v>33.71</v>
      </c>
      <c r="H143" s="139" t="s">
        <v>349</v>
      </c>
      <c r="I143" s="194" t="s">
        <v>350</v>
      </c>
      <c r="J143" s="196" t="str">
        <f t="shared" si="4"/>
        <v>Compra</v>
      </c>
      <c r="K143" s="196" t="str">
        <f t="shared" si="5"/>
        <v>NO</v>
      </c>
    </row>
    <row r="144" spans="1:11" x14ac:dyDescent="0.25">
      <c r="A144" s="137" t="s">
        <v>371</v>
      </c>
      <c r="B144" s="137" t="s">
        <v>348</v>
      </c>
      <c r="C144" s="138">
        <v>126</v>
      </c>
      <c r="D144" s="137" t="s">
        <v>347</v>
      </c>
      <c r="E144" s="137" t="s">
        <v>28</v>
      </c>
      <c r="F144" s="138">
        <v>1.58</v>
      </c>
      <c r="G144" s="138">
        <v>33.71</v>
      </c>
      <c r="H144" s="137" t="s">
        <v>349</v>
      </c>
      <c r="I144" s="193" t="s">
        <v>350</v>
      </c>
      <c r="J144" s="196" t="str">
        <f t="shared" si="4"/>
        <v>Compra</v>
      </c>
      <c r="K144" s="196" t="str">
        <f t="shared" si="5"/>
        <v>SI</v>
      </c>
    </row>
    <row r="145" spans="1:11" x14ac:dyDescent="0.25">
      <c r="A145" s="139" t="s">
        <v>368</v>
      </c>
      <c r="B145" s="139" t="s">
        <v>348</v>
      </c>
      <c r="C145" s="140">
        <v>127</v>
      </c>
      <c r="D145" s="139" t="s">
        <v>313</v>
      </c>
      <c r="E145" s="139" t="s">
        <v>28</v>
      </c>
      <c r="F145" s="140"/>
      <c r="G145" s="140">
        <v>31.6</v>
      </c>
      <c r="H145" s="139" t="s">
        <v>349</v>
      </c>
      <c r="I145" s="194" t="s">
        <v>350</v>
      </c>
      <c r="J145" s="196" t="str">
        <f t="shared" si="4"/>
        <v>Venta</v>
      </c>
      <c r="K145" s="196" t="str">
        <f t="shared" si="5"/>
        <v>NO</v>
      </c>
    </row>
    <row r="146" spans="1:11" x14ac:dyDescent="0.25">
      <c r="A146" s="137" t="s">
        <v>368</v>
      </c>
      <c r="B146" s="137" t="s">
        <v>348</v>
      </c>
      <c r="C146" s="138">
        <v>128</v>
      </c>
      <c r="D146" s="137" t="s">
        <v>347</v>
      </c>
      <c r="E146" s="137" t="s">
        <v>28</v>
      </c>
      <c r="F146" s="138"/>
      <c r="G146" s="138">
        <v>31.6</v>
      </c>
      <c r="H146" s="137" t="s">
        <v>349</v>
      </c>
      <c r="I146" s="193" t="s">
        <v>350</v>
      </c>
      <c r="J146" s="196" t="str">
        <f t="shared" si="4"/>
        <v>Venta</v>
      </c>
      <c r="K146" s="196" t="str">
        <f t="shared" si="5"/>
        <v>SI</v>
      </c>
    </row>
    <row r="147" spans="1:11" x14ac:dyDescent="0.25">
      <c r="A147" s="139" t="s">
        <v>376</v>
      </c>
      <c r="B147" s="139" t="s">
        <v>348</v>
      </c>
      <c r="C147" s="140">
        <v>129</v>
      </c>
      <c r="D147" s="139" t="s">
        <v>311</v>
      </c>
      <c r="E147" s="139" t="s">
        <v>28</v>
      </c>
      <c r="F147" s="140"/>
      <c r="G147" s="140">
        <v>14.65</v>
      </c>
      <c r="H147" s="139" t="s">
        <v>349</v>
      </c>
      <c r="I147" s="194" t="s">
        <v>350</v>
      </c>
      <c r="J147" s="196" t="str">
        <f t="shared" si="4"/>
        <v>Compra</v>
      </c>
      <c r="K147" s="196" t="str">
        <f t="shared" si="5"/>
        <v>NO</v>
      </c>
    </row>
    <row r="148" spans="1:11" x14ac:dyDescent="0.25">
      <c r="A148" s="137" t="s">
        <v>376</v>
      </c>
      <c r="B148" s="137" t="s">
        <v>348</v>
      </c>
      <c r="C148" s="138">
        <v>130</v>
      </c>
      <c r="D148" s="137" t="s">
        <v>347</v>
      </c>
      <c r="E148" s="137" t="s">
        <v>28</v>
      </c>
      <c r="F148" s="138"/>
      <c r="G148" s="138">
        <v>14.65</v>
      </c>
      <c r="H148" s="137" t="s">
        <v>349</v>
      </c>
      <c r="I148" s="193" t="s">
        <v>350</v>
      </c>
      <c r="J148" s="196" t="str">
        <f t="shared" si="4"/>
        <v>Compra</v>
      </c>
      <c r="K148" s="196" t="str">
        <f t="shared" si="5"/>
        <v>SI</v>
      </c>
    </row>
    <row r="149" spans="1:11" x14ac:dyDescent="0.25">
      <c r="A149" s="139" t="s">
        <v>351</v>
      </c>
      <c r="B149" s="139" t="s">
        <v>348</v>
      </c>
      <c r="C149" s="140">
        <v>131</v>
      </c>
      <c r="D149" s="139" t="s">
        <v>316</v>
      </c>
      <c r="E149" s="139" t="s">
        <v>28</v>
      </c>
      <c r="F149" s="140">
        <v>257.2</v>
      </c>
      <c r="G149" s="140">
        <v>1139.3699999999999</v>
      </c>
      <c r="H149" s="139" t="s">
        <v>349</v>
      </c>
      <c r="I149" s="194" t="s">
        <v>350</v>
      </c>
      <c r="J149" s="196" t="str">
        <f t="shared" si="4"/>
        <v>Venta</v>
      </c>
      <c r="K149" s="196" t="str">
        <f t="shared" si="5"/>
        <v>NO</v>
      </c>
    </row>
    <row r="150" spans="1:11" x14ac:dyDescent="0.25">
      <c r="A150" s="137" t="s">
        <v>351</v>
      </c>
      <c r="B150" s="137" t="s">
        <v>348</v>
      </c>
      <c r="C150" s="138">
        <v>132</v>
      </c>
      <c r="D150" s="137" t="s">
        <v>347</v>
      </c>
      <c r="E150" s="137" t="s">
        <v>28</v>
      </c>
      <c r="F150" s="138">
        <v>257.2</v>
      </c>
      <c r="G150" s="138">
        <v>1139.3699999999999</v>
      </c>
      <c r="H150" s="137" t="s">
        <v>349</v>
      </c>
      <c r="I150" s="193" t="s">
        <v>350</v>
      </c>
      <c r="J150" s="196" t="str">
        <f t="shared" si="4"/>
        <v>Venta</v>
      </c>
      <c r="K150" s="196" t="str">
        <f t="shared" si="5"/>
        <v>SI</v>
      </c>
    </row>
    <row r="151" spans="1:11" x14ac:dyDescent="0.25">
      <c r="J151" s="196" t="str">
        <f t="shared" si="4"/>
        <v>Venta</v>
      </c>
      <c r="K151" s="196" t="str">
        <f t="shared" si="5"/>
        <v>SI</v>
      </c>
    </row>
    <row r="152" spans="1:11" x14ac:dyDescent="0.25">
      <c r="J152" s="196" t="str">
        <f t="shared" si="4"/>
        <v>Venta</v>
      </c>
      <c r="K152" s="196" t="str">
        <f t="shared" si="5"/>
        <v>SI</v>
      </c>
    </row>
    <row r="153" spans="1:11" x14ac:dyDescent="0.25">
      <c r="J153" s="196" t="str">
        <f t="shared" si="4"/>
        <v>Venta</v>
      </c>
      <c r="K153" s="196" t="str">
        <f t="shared" si="5"/>
        <v>SI</v>
      </c>
    </row>
    <row r="154" spans="1:11" x14ac:dyDescent="0.25">
      <c r="J154" s="196" t="str">
        <f t="shared" si="4"/>
        <v>Venta</v>
      </c>
      <c r="K154" s="196" t="str">
        <f t="shared" si="5"/>
        <v>SI</v>
      </c>
    </row>
    <row r="155" spans="1:11" x14ac:dyDescent="0.25">
      <c r="J155" s="196" t="str">
        <f t="shared" si="4"/>
        <v>Venta</v>
      </c>
      <c r="K155" s="196" t="str">
        <f t="shared" si="5"/>
        <v>SI</v>
      </c>
    </row>
    <row r="156" spans="1:11" x14ac:dyDescent="0.25">
      <c r="J156" s="196" t="str">
        <f t="shared" si="4"/>
        <v>Venta</v>
      </c>
      <c r="K156" s="196" t="str">
        <f t="shared" si="5"/>
        <v>SI</v>
      </c>
    </row>
    <row r="157" spans="1:11" x14ac:dyDescent="0.25">
      <c r="J157" s="196" t="str">
        <f t="shared" si="4"/>
        <v>Venta</v>
      </c>
      <c r="K157" s="196" t="str">
        <f t="shared" si="5"/>
        <v>SI</v>
      </c>
    </row>
    <row r="158" spans="1:11" x14ac:dyDescent="0.25">
      <c r="J158" s="196" t="str">
        <f t="shared" si="4"/>
        <v>Venta</v>
      </c>
      <c r="K158" s="196" t="str">
        <f t="shared" si="5"/>
        <v>SI</v>
      </c>
    </row>
    <row r="159" spans="1:11" x14ac:dyDescent="0.25">
      <c r="J159" s="196" t="str">
        <f t="shared" si="4"/>
        <v>Venta</v>
      </c>
      <c r="K159" s="196" t="str">
        <f t="shared" si="5"/>
        <v>SI</v>
      </c>
    </row>
    <row r="160" spans="1:11" x14ac:dyDescent="0.25">
      <c r="J160" s="196" t="str">
        <f t="shared" si="4"/>
        <v>Venta</v>
      </c>
      <c r="K160" s="196" t="str">
        <f t="shared" si="5"/>
        <v>SI</v>
      </c>
    </row>
    <row r="161" spans="10:11" x14ac:dyDescent="0.25">
      <c r="J161" s="196" t="str">
        <f t="shared" si="4"/>
        <v>Venta</v>
      </c>
      <c r="K161" s="196" t="str">
        <f t="shared" si="5"/>
        <v>SI</v>
      </c>
    </row>
    <row r="162" spans="10:11" x14ac:dyDescent="0.25">
      <c r="J162" s="196" t="str">
        <f t="shared" si="4"/>
        <v>Venta</v>
      </c>
      <c r="K162" s="196" t="str">
        <f t="shared" si="5"/>
        <v>SI</v>
      </c>
    </row>
    <row r="163" spans="10:11" x14ac:dyDescent="0.25">
      <c r="J163" s="196" t="str">
        <f t="shared" si="4"/>
        <v>Venta</v>
      </c>
      <c r="K163" s="196" t="str">
        <f t="shared" si="5"/>
        <v>SI</v>
      </c>
    </row>
    <row r="164" spans="10:11" x14ac:dyDescent="0.25">
      <c r="J164" s="196" t="str">
        <f t="shared" si="4"/>
        <v>Venta</v>
      </c>
      <c r="K164" s="196" t="str">
        <f t="shared" si="5"/>
        <v>SI</v>
      </c>
    </row>
    <row r="165" spans="10:11" x14ac:dyDescent="0.25">
      <c r="J165" s="196" t="str">
        <f t="shared" si="4"/>
        <v>Venta</v>
      </c>
      <c r="K165" s="196" t="str">
        <f t="shared" si="5"/>
        <v>SI</v>
      </c>
    </row>
    <row r="166" spans="10:11" x14ac:dyDescent="0.25">
      <c r="J166" s="196" t="str">
        <f t="shared" si="4"/>
        <v>Venta</v>
      </c>
      <c r="K166" s="196" t="str">
        <f t="shared" si="5"/>
        <v>SI</v>
      </c>
    </row>
    <row r="167" spans="10:11" x14ac:dyDescent="0.25">
      <c r="J167" s="196" t="str">
        <f t="shared" si="4"/>
        <v>Venta</v>
      </c>
      <c r="K167" s="196" t="str">
        <f t="shared" si="5"/>
        <v>SI</v>
      </c>
    </row>
    <row r="168" spans="10:11" x14ac:dyDescent="0.25">
      <c r="J168" s="196" t="str">
        <f t="shared" si="4"/>
        <v>Venta</v>
      </c>
      <c r="K168" s="196" t="str">
        <f t="shared" si="5"/>
        <v>SI</v>
      </c>
    </row>
    <row r="169" spans="10:11" x14ac:dyDescent="0.25">
      <c r="J169" s="196" t="str">
        <f t="shared" si="4"/>
        <v>Venta</v>
      </c>
      <c r="K169" s="196" t="str">
        <f t="shared" si="5"/>
        <v>SI</v>
      </c>
    </row>
    <row r="170" spans="10:11" x14ac:dyDescent="0.25">
      <c r="J170" s="196" t="str">
        <f t="shared" si="4"/>
        <v>Venta</v>
      </c>
      <c r="K170" s="196" t="str">
        <f t="shared" si="5"/>
        <v>SI</v>
      </c>
    </row>
    <row r="171" spans="10:11" x14ac:dyDescent="0.25">
      <c r="J171" s="196" t="str">
        <f t="shared" si="4"/>
        <v>Venta</v>
      </c>
      <c r="K171" s="196" t="str">
        <f t="shared" si="5"/>
        <v>SI</v>
      </c>
    </row>
    <row r="172" spans="10:11" x14ac:dyDescent="0.25">
      <c r="J172" s="196" t="str">
        <f t="shared" si="4"/>
        <v>Venta</v>
      </c>
      <c r="K172" s="196" t="str">
        <f t="shared" si="5"/>
        <v>SI</v>
      </c>
    </row>
    <row r="173" spans="10:11" x14ac:dyDescent="0.25">
      <c r="J173" s="196" t="str">
        <f t="shared" si="4"/>
        <v>Venta</v>
      </c>
      <c r="K173" s="196" t="str">
        <f t="shared" si="5"/>
        <v>SI</v>
      </c>
    </row>
    <row r="174" spans="10:11" x14ac:dyDescent="0.25">
      <c r="J174" s="196" t="str">
        <f t="shared" si="4"/>
        <v>Venta</v>
      </c>
      <c r="K174" s="196" t="str">
        <f t="shared" si="5"/>
        <v>SI</v>
      </c>
    </row>
    <row r="175" spans="10:11" x14ac:dyDescent="0.25">
      <c r="J175" s="196" t="str">
        <f t="shared" si="4"/>
        <v>Venta</v>
      </c>
      <c r="K175" s="196" t="str">
        <f t="shared" si="5"/>
        <v>SI</v>
      </c>
    </row>
    <row r="176" spans="10:11" x14ac:dyDescent="0.25">
      <c r="J176" s="196" t="str">
        <f t="shared" si="4"/>
        <v>Venta</v>
      </c>
      <c r="K176" s="196" t="str">
        <f t="shared" si="5"/>
        <v>SI</v>
      </c>
    </row>
    <row r="177" spans="10:11" x14ac:dyDescent="0.25">
      <c r="J177" s="196" t="str">
        <f t="shared" si="4"/>
        <v>Venta</v>
      </c>
      <c r="K177" s="196" t="str">
        <f t="shared" si="5"/>
        <v>SI</v>
      </c>
    </row>
    <row r="178" spans="10:11" x14ac:dyDescent="0.25">
      <c r="J178" s="196" t="str">
        <f t="shared" si="4"/>
        <v>Venta</v>
      </c>
      <c r="K178" s="196" t="str">
        <f t="shared" si="5"/>
        <v>SI</v>
      </c>
    </row>
    <row r="179" spans="10:11" x14ac:dyDescent="0.25">
      <c r="J179" s="196" t="str">
        <f t="shared" si="4"/>
        <v>Venta</v>
      </c>
      <c r="K179" s="196" t="str">
        <f t="shared" si="5"/>
        <v>SI</v>
      </c>
    </row>
    <row r="180" spans="10:11" x14ac:dyDescent="0.25">
      <c r="J180" s="196" t="str">
        <f t="shared" si="4"/>
        <v>Venta</v>
      </c>
      <c r="K180" s="196" t="str">
        <f t="shared" si="5"/>
        <v>SI</v>
      </c>
    </row>
    <row r="181" spans="10:11" x14ac:dyDescent="0.25">
      <c r="J181" s="196" t="str">
        <f t="shared" si="4"/>
        <v>Venta</v>
      </c>
      <c r="K181" s="196" t="str">
        <f t="shared" si="5"/>
        <v>SI</v>
      </c>
    </row>
    <row r="182" spans="10:11" x14ac:dyDescent="0.25">
      <c r="J182" s="196" t="str">
        <f t="shared" si="4"/>
        <v>Venta</v>
      </c>
      <c r="K182" s="196" t="str">
        <f t="shared" si="5"/>
        <v>SI</v>
      </c>
    </row>
    <row r="183" spans="10:11" x14ac:dyDescent="0.25">
      <c r="J183" s="196" t="str">
        <f t="shared" si="4"/>
        <v>Venta</v>
      </c>
      <c r="K183" s="196" t="str">
        <f t="shared" si="5"/>
        <v>SI</v>
      </c>
    </row>
    <row r="184" spans="10:11" x14ac:dyDescent="0.25">
      <c r="J184" s="196" t="str">
        <f t="shared" si="4"/>
        <v>Venta</v>
      </c>
      <c r="K184" s="196" t="str">
        <f t="shared" si="5"/>
        <v>SI</v>
      </c>
    </row>
    <row r="185" spans="10:11" x14ac:dyDescent="0.25">
      <c r="J185" s="196" t="str">
        <f t="shared" si="4"/>
        <v>Venta</v>
      </c>
      <c r="K185" s="196" t="str">
        <f t="shared" si="5"/>
        <v>SI</v>
      </c>
    </row>
    <row r="186" spans="10:11" x14ac:dyDescent="0.25">
      <c r="J186" s="196" t="str">
        <f t="shared" si="4"/>
        <v>Venta</v>
      </c>
      <c r="K186" s="196" t="str">
        <f t="shared" si="5"/>
        <v>SI</v>
      </c>
    </row>
    <row r="187" spans="10:11" x14ac:dyDescent="0.25">
      <c r="J187" s="196" t="str">
        <f t="shared" si="4"/>
        <v>Venta</v>
      </c>
      <c r="K187" s="196" t="str">
        <f t="shared" si="5"/>
        <v>SI</v>
      </c>
    </row>
    <row r="188" spans="10:11" x14ac:dyDescent="0.25">
      <c r="J188" s="196" t="str">
        <f t="shared" si="4"/>
        <v>Venta</v>
      </c>
      <c r="K188" s="196" t="str">
        <f t="shared" si="5"/>
        <v>SI</v>
      </c>
    </row>
    <row r="189" spans="10:11" x14ac:dyDescent="0.25">
      <c r="J189" s="196" t="str">
        <f t="shared" si="4"/>
        <v>Venta</v>
      </c>
      <c r="K189" s="196" t="str">
        <f t="shared" si="5"/>
        <v>SI</v>
      </c>
    </row>
    <row r="190" spans="10:11" x14ac:dyDescent="0.25">
      <c r="J190" s="196" t="str">
        <f t="shared" si="4"/>
        <v>Venta</v>
      </c>
      <c r="K190" s="196" t="str">
        <f t="shared" si="5"/>
        <v>SI</v>
      </c>
    </row>
    <row r="191" spans="10:11" x14ac:dyDescent="0.25">
      <c r="J191" s="196" t="str">
        <f t="shared" si="4"/>
        <v>Venta</v>
      </c>
      <c r="K191" s="196" t="str">
        <f t="shared" si="5"/>
        <v>SI</v>
      </c>
    </row>
    <row r="192" spans="10:11" x14ac:dyDescent="0.25">
      <c r="J192" s="196" t="str">
        <f t="shared" si="4"/>
        <v>Venta</v>
      </c>
      <c r="K192" s="196" t="str">
        <f t="shared" si="5"/>
        <v>SI</v>
      </c>
    </row>
    <row r="193" spans="10:11" x14ac:dyDescent="0.25">
      <c r="J193" s="196" t="str">
        <f t="shared" si="4"/>
        <v>Venta</v>
      </c>
      <c r="K193" s="196" t="str">
        <f t="shared" si="5"/>
        <v>SI</v>
      </c>
    </row>
    <row r="194" spans="10:11" x14ac:dyDescent="0.25">
      <c r="J194" s="196" t="str">
        <f t="shared" si="4"/>
        <v>Venta</v>
      </c>
      <c r="K194" s="196" t="str">
        <f t="shared" si="5"/>
        <v>SI</v>
      </c>
    </row>
    <row r="195" spans="10:11" x14ac:dyDescent="0.25">
      <c r="J195" s="196" t="str">
        <f t="shared" ref="J195:J258" si="6">+IF(D195="WNMC","Compra",IF(D195="WNMV","Venta",IF(D195="WEMC","Compra",IF(D195="WEMV","Venta",IF(D195="WENV","Venta",IF(D195="WENC","Compra",J194))))))</f>
        <v>Venta</v>
      </c>
      <c r="K195" s="196" t="str">
        <f t="shared" ref="K195:K258" si="7">+IF(D195="WNMC","NO",IF(D195="WNMV","NO",IF(D195="WEMC","NO",IF(D195="WEMV","NO",IF(D195="WENV","NO",IF(D195="WENC","NO","SI"))))))</f>
        <v>SI</v>
      </c>
    </row>
    <row r="196" spans="10:11" x14ac:dyDescent="0.25">
      <c r="J196" s="196" t="str">
        <f t="shared" si="6"/>
        <v>Venta</v>
      </c>
      <c r="K196" s="196" t="str">
        <f t="shared" si="7"/>
        <v>SI</v>
      </c>
    </row>
    <row r="197" spans="10:11" x14ac:dyDescent="0.25">
      <c r="J197" s="196" t="str">
        <f t="shared" si="6"/>
        <v>Venta</v>
      </c>
      <c r="K197" s="196" t="str">
        <f t="shared" si="7"/>
        <v>SI</v>
      </c>
    </row>
    <row r="198" spans="10:11" x14ac:dyDescent="0.25">
      <c r="J198" s="196" t="str">
        <f t="shared" si="6"/>
        <v>Venta</v>
      </c>
      <c r="K198" s="196" t="str">
        <f t="shared" si="7"/>
        <v>SI</v>
      </c>
    </row>
    <row r="199" spans="10:11" x14ac:dyDescent="0.25">
      <c r="J199" s="196" t="str">
        <f t="shared" si="6"/>
        <v>Venta</v>
      </c>
      <c r="K199" s="196" t="str">
        <f t="shared" si="7"/>
        <v>SI</v>
      </c>
    </row>
    <row r="200" spans="10:11" x14ac:dyDescent="0.25">
      <c r="J200" s="196" t="str">
        <f t="shared" si="6"/>
        <v>Venta</v>
      </c>
      <c r="K200" s="196" t="str">
        <f t="shared" si="7"/>
        <v>SI</v>
      </c>
    </row>
    <row r="201" spans="10:11" x14ac:dyDescent="0.25">
      <c r="J201" s="196" t="str">
        <f t="shared" si="6"/>
        <v>Venta</v>
      </c>
      <c r="K201" s="196" t="str">
        <f t="shared" si="7"/>
        <v>SI</v>
      </c>
    </row>
    <row r="202" spans="10:11" x14ac:dyDescent="0.25">
      <c r="J202" s="196" t="str">
        <f t="shared" si="6"/>
        <v>Venta</v>
      </c>
      <c r="K202" s="196" t="str">
        <f t="shared" si="7"/>
        <v>SI</v>
      </c>
    </row>
    <row r="203" spans="10:11" x14ac:dyDescent="0.25">
      <c r="J203" s="196" t="str">
        <f t="shared" si="6"/>
        <v>Venta</v>
      </c>
      <c r="K203" s="196" t="str">
        <f t="shared" si="7"/>
        <v>SI</v>
      </c>
    </row>
    <row r="204" spans="10:11" x14ac:dyDescent="0.25">
      <c r="J204" s="196" t="str">
        <f t="shared" si="6"/>
        <v>Venta</v>
      </c>
      <c r="K204" s="196" t="str">
        <f t="shared" si="7"/>
        <v>SI</v>
      </c>
    </row>
    <row r="205" spans="10:11" x14ac:dyDescent="0.25">
      <c r="J205" s="196" t="str">
        <f t="shared" si="6"/>
        <v>Venta</v>
      </c>
      <c r="K205" s="196" t="str">
        <f t="shared" si="7"/>
        <v>SI</v>
      </c>
    </row>
    <row r="206" spans="10:11" x14ac:dyDescent="0.25">
      <c r="J206" s="196" t="str">
        <f t="shared" si="6"/>
        <v>Venta</v>
      </c>
      <c r="K206" s="196" t="str">
        <f t="shared" si="7"/>
        <v>SI</v>
      </c>
    </row>
    <row r="207" spans="10:11" x14ac:dyDescent="0.25">
      <c r="J207" s="196" t="str">
        <f t="shared" si="6"/>
        <v>Venta</v>
      </c>
      <c r="K207" s="196" t="str">
        <f t="shared" si="7"/>
        <v>SI</v>
      </c>
    </row>
    <row r="208" spans="10:11" x14ac:dyDescent="0.25">
      <c r="J208" s="196" t="str">
        <f t="shared" si="6"/>
        <v>Venta</v>
      </c>
      <c r="K208" s="196" t="str">
        <f t="shared" si="7"/>
        <v>SI</v>
      </c>
    </row>
    <row r="209" spans="10:11" x14ac:dyDescent="0.25">
      <c r="J209" s="196" t="str">
        <f t="shared" si="6"/>
        <v>Venta</v>
      </c>
      <c r="K209" s="196" t="str">
        <f t="shared" si="7"/>
        <v>SI</v>
      </c>
    </row>
    <row r="210" spans="10:11" x14ac:dyDescent="0.25">
      <c r="J210" s="196" t="str">
        <f t="shared" si="6"/>
        <v>Venta</v>
      </c>
      <c r="K210" s="196" t="str">
        <f t="shared" si="7"/>
        <v>SI</v>
      </c>
    </row>
    <row r="211" spans="10:11" x14ac:dyDescent="0.25">
      <c r="J211" s="196" t="str">
        <f t="shared" si="6"/>
        <v>Venta</v>
      </c>
      <c r="K211" s="196" t="str">
        <f t="shared" si="7"/>
        <v>SI</v>
      </c>
    </row>
    <row r="212" spans="10:11" x14ac:dyDescent="0.25">
      <c r="J212" s="196" t="str">
        <f t="shared" si="6"/>
        <v>Venta</v>
      </c>
      <c r="K212" s="196" t="str">
        <f t="shared" si="7"/>
        <v>SI</v>
      </c>
    </row>
    <row r="213" spans="10:11" x14ac:dyDescent="0.25">
      <c r="J213" s="196" t="str">
        <f t="shared" si="6"/>
        <v>Venta</v>
      </c>
      <c r="K213" s="196" t="str">
        <f t="shared" si="7"/>
        <v>SI</v>
      </c>
    </row>
    <row r="214" spans="10:11" x14ac:dyDescent="0.25">
      <c r="J214" s="196" t="str">
        <f t="shared" si="6"/>
        <v>Venta</v>
      </c>
      <c r="K214" s="196" t="str">
        <f t="shared" si="7"/>
        <v>SI</v>
      </c>
    </row>
    <row r="215" spans="10:11" x14ac:dyDescent="0.25">
      <c r="J215" s="196" t="str">
        <f t="shared" si="6"/>
        <v>Venta</v>
      </c>
      <c r="K215" s="196" t="str">
        <f t="shared" si="7"/>
        <v>SI</v>
      </c>
    </row>
    <row r="216" spans="10:11" x14ac:dyDescent="0.25">
      <c r="J216" s="196" t="str">
        <f t="shared" si="6"/>
        <v>Venta</v>
      </c>
      <c r="K216" s="196" t="str">
        <f t="shared" si="7"/>
        <v>SI</v>
      </c>
    </row>
    <row r="217" spans="10:11" x14ac:dyDescent="0.25">
      <c r="J217" s="196" t="str">
        <f t="shared" si="6"/>
        <v>Venta</v>
      </c>
      <c r="K217" s="196" t="str">
        <f t="shared" si="7"/>
        <v>SI</v>
      </c>
    </row>
    <row r="218" spans="10:11" x14ac:dyDescent="0.25">
      <c r="J218" s="196" t="str">
        <f t="shared" si="6"/>
        <v>Venta</v>
      </c>
      <c r="K218" s="196" t="str">
        <f t="shared" si="7"/>
        <v>SI</v>
      </c>
    </row>
    <row r="219" spans="10:11" x14ac:dyDescent="0.25">
      <c r="J219" s="196" t="str">
        <f t="shared" si="6"/>
        <v>Venta</v>
      </c>
      <c r="K219" s="196" t="str">
        <f t="shared" si="7"/>
        <v>SI</v>
      </c>
    </row>
    <row r="220" spans="10:11" x14ac:dyDescent="0.25">
      <c r="J220" s="196" t="str">
        <f t="shared" si="6"/>
        <v>Venta</v>
      </c>
      <c r="K220" s="196" t="str">
        <f t="shared" si="7"/>
        <v>SI</v>
      </c>
    </row>
    <row r="221" spans="10:11" x14ac:dyDescent="0.25">
      <c r="J221" s="196" t="str">
        <f t="shared" si="6"/>
        <v>Venta</v>
      </c>
      <c r="K221" s="196" t="str">
        <f t="shared" si="7"/>
        <v>SI</v>
      </c>
    </row>
    <row r="222" spans="10:11" x14ac:dyDescent="0.25">
      <c r="J222" s="196" t="str">
        <f t="shared" si="6"/>
        <v>Venta</v>
      </c>
      <c r="K222" s="196" t="str">
        <f t="shared" si="7"/>
        <v>SI</v>
      </c>
    </row>
    <row r="223" spans="10:11" x14ac:dyDescent="0.25">
      <c r="J223" s="196" t="str">
        <f t="shared" si="6"/>
        <v>Venta</v>
      </c>
      <c r="K223" s="196" t="str">
        <f t="shared" si="7"/>
        <v>SI</v>
      </c>
    </row>
    <row r="224" spans="10:11" x14ac:dyDescent="0.25">
      <c r="J224" s="196" t="str">
        <f t="shared" si="6"/>
        <v>Venta</v>
      </c>
      <c r="K224" s="196" t="str">
        <f t="shared" si="7"/>
        <v>SI</v>
      </c>
    </row>
    <row r="225" spans="10:11" x14ac:dyDescent="0.25">
      <c r="J225" s="196" t="str">
        <f t="shared" si="6"/>
        <v>Venta</v>
      </c>
      <c r="K225" s="196" t="str">
        <f t="shared" si="7"/>
        <v>SI</v>
      </c>
    </row>
    <row r="226" spans="10:11" x14ac:dyDescent="0.25">
      <c r="J226" s="196" t="str">
        <f t="shared" si="6"/>
        <v>Venta</v>
      </c>
      <c r="K226" s="196" t="str">
        <f t="shared" si="7"/>
        <v>SI</v>
      </c>
    </row>
    <row r="227" spans="10:11" x14ac:dyDescent="0.25">
      <c r="J227" s="196" t="str">
        <f t="shared" si="6"/>
        <v>Venta</v>
      </c>
      <c r="K227" s="196" t="str">
        <f t="shared" si="7"/>
        <v>SI</v>
      </c>
    </row>
    <row r="228" spans="10:11" x14ac:dyDescent="0.25">
      <c r="J228" s="196" t="str">
        <f t="shared" si="6"/>
        <v>Venta</v>
      </c>
      <c r="K228" s="196" t="str">
        <f t="shared" si="7"/>
        <v>SI</v>
      </c>
    </row>
    <row r="229" spans="10:11" x14ac:dyDescent="0.25">
      <c r="J229" s="196" t="str">
        <f t="shared" si="6"/>
        <v>Venta</v>
      </c>
      <c r="K229" s="196" t="str">
        <f t="shared" si="7"/>
        <v>SI</v>
      </c>
    </row>
    <row r="230" spans="10:11" x14ac:dyDescent="0.25">
      <c r="J230" s="196" t="str">
        <f t="shared" si="6"/>
        <v>Venta</v>
      </c>
      <c r="K230" s="196" t="str">
        <f t="shared" si="7"/>
        <v>SI</v>
      </c>
    </row>
    <row r="231" spans="10:11" x14ac:dyDescent="0.25">
      <c r="J231" s="196" t="str">
        <f t="shared" si="6"/>
        <v>Venta</v>
      </c>
      <c r="K231" s="196" t="str">
        <f t="shared" si="7"/>
        <v>SI</v>
      </c>
    </row>
    <row r="232" spans="10:11" x14ac:dyDescent="0.25">
      <c r="J232" s="196" t="str">
        <f t="shared" si="6"/>
        <v>Venta</v>
      </c>
      <c r="K232" s="196" t="str">
        <f t="shared" si="7"/>
        <v>SI</v>
      </c>
    </row>
    <row r="233" spans="10:11" x14ac:dyDescent="0.25">
      <c r="J233" s="196" t="str">
        <f t="shared" si="6"/>
        <v>Venta</v>
      </c>
      <c r="K233" s="196" t="str">
        <f t="shared" si="7"/>
        <v>SI</v>
      </c>
    </row>
    <row r="234" spans="10:11" x14ac:dyDescent="0.25">
      <c r="J234" s="196" t="str">
        <f t="shared" si="6"/>
        <v>Venta</v>
      </c>
      <c r="K234" s="196" t="str">
        <f t="shared" si="7"/>
        <v>SI</v>
      </c>
    </row>
    <row r="235" spans="10:11" x14ac:dyDescent="0.25">
      <c r="J235" s="196" t="str">
        <f t="shared" si="6"/>
        <v>Venta</v>
      </c>
      <c r="K235" s="196" t="str">
        <f t="shared" si="7"/>
        <v>SI</v>
      </c>
    </row>
    <row r="236" spans="10:11" x14ac:dyDescent="0.25">
      <c r="J236" s="196" t="str">
        <f t="shared" si="6"/>
        <v>Venta</v>
      </c>
      <c r="K236" s="196" t="str">
        <f t="shared" si="7"/>
        <v>SI</v>
      </c>
    </row>
    <row r="237" spans="10:11" x14ac:dyDescent="0.25">
      <c r="J237" s="196" t="str">
        <f t="shared" si="6"/>
        <v>Venta</v>
      </c>
      <c r="K237" s="196" t="str">
        <f t="shared" si="7"/>
        <v>SI</v>
      </c>
    </row>
    <row r="238" spans="10:11" x14ac:dyDescent="0.25">
      <c r="J238" s="196" t="str">
        <f t="shared" si="6"/>
        <v>Venta</v>
      </c>
      <c r="K238" s="196" t="str">
        <f t="shared" si="7"/>
        <v>SI</v>
      </c>
    </row>
    <row r="239" spans="10:11" x14ac:dyDescent="0.25">
      <c r="J239" s="196" t="str">
        <f t="shared" si="6"/>
        <v>Venta</v>
      </c>
      <c r="K239" s="196" t="str">
        <f t="shared" si="7"/>
        <v>SI</v>
      </c>
    </row>
    <row r="240" spans="10:11" x14ac:dyDescent="0.25">
      <c r="J240" s="196" t="str">
        <f t="shared" si="6"/>
        <v>Venta</v>
      </c>
      <c r="K240" s="196" t="str">
        <f t="shared" si="7"/>
        <v>SI</v>
      </c>
    </row>
    <row r="241" spans="10:11" x14ac:dyDescent="0.25">
      <c r="J241" s="196" t="str">
        <f t="shared" si="6"/>
        <v>Venta</v>
      </c>
      <c r="K241" s="196" t="str">
        <f t="shared" si="7"/>
        <v>SI</v>
      </c>
    </row>
    <row r="242" spans="10:11" x14ac:dyDescent="0.25">
      <c r="J242" s="196" t="str">
        <f t="shared" si="6"/>
        <v>Venta</v>
      </c>
      <c r="K242" s="196" t="str">
        <f t="shared" si="7"/>
        <v>SI</v>
      </c>
    </row>
    <row r="243" spans="10:11" x14ac:dyDescent="0.25">
      <c r="J243" s="196" t="str">
        <f t="shared" si="6"/>
        <v>Venta</v>
      </c>
      <c r="K243" s="196" t="str">
        <f t="shared" si="7"/>
        <v>SI</v>
      </c>
    </row>
    <row r="244" spans="10:11" x14ac:dyDescent="0.25">
      <c r="J244" s="196" t="str">
        <f t="shared" si="6"/>
        <v>Venta</v>
      </c>
      <c r="K244" s="196" t="str">
        <f t="shared" si="7"/>
        <v>SI</v>
      </c>
    </row>
    <row r="245" spans="10:11" x14ac:dyDescent="0.25">
      <c r="J245" s="196" t="str">
        <f t="shared" si="6"/>
        <v>Venta</v>
      </c>
      <c r="K245" s="196" t="str">
        <f t="shared" si="7"/>
        <v>SI</v>
      </c>
    </row>
    <row r="246" spans="10:11" x14ac:dyDescent="0.25">
      <c r="J246" s="196" t="str">
        <f t="shared" si="6"/>
        <v>Venta</v>
      </c>
      <c r="K246" s="196" t="str">
        <f t="shared" si="7"/>
        <v>SI</v>
      </c>
    </row>
    <row r="247" spans="10:11" x14ac:dyDescent="0.25">
      <c r="J247" s="196" t="str">
        <f t="shared" si="6"/>
        <v>Venta</v>
      </c>
      <c r="K247" s="196" t="str">
        <f t="shared" si="7"/>
        <v>SI</v>
      </c>
    </row>
    <row r="248" spans="10:11" x14ac:dyDescent="0.25">
      <c r="J248" s="196" t="str">
        <f t="shared" si="6"/>
        <v>Venta</v>
      </c>
      <c r="K248" s="196" t="str">
        <f t="shared" si="7"/>
        <v>SI</v>
      </c>
    </row>
    <row r="249" spans="10:11" x14ac:dyDescent="0.25">
      <c r="J249" s="196" t="str">
        <f t="shared" si="6"/>
        <v>Venta</v>
      </c>
      <c r="K249" s="196" t="str">
        <f t="shared" si="7"/>
        <v>SI</v>
      </c>
    </row>
    <row r="250" spans="10:11" x14ac:dyDescent="0.25">
      <c r="J250" s="196" t="str">
        <f t="shared" si="6"/>
        <v>Venta</v>
      </c>
      <c r="K250" s="196" t="str">
        <f t="shared" si="7"/>
        <v>SI</v>
      </c>
    </row>
    <row r="251" spans="10:11" x14ac:dyDescent="0.25">
      <c r="J251" s="196" t="str">
        <f t="shared" si="6"/>
        <v>Venta</v>
      </c>
      <c r="K251" s="196" t="str">
        <f t="shared" si="7"/>
        <v>SI</v>
      </c>
    </row>
    <row r="252" spans="10:11" x14ac:dyDescent="0.25">
      <c r="J252" s="196" t="str">
        <f t="shared" si="6"/>
        <v>Venta</v>
      </c>
      <c r="K252" s="196" t="str">
        <f t="shared" si="7"/>
        <v>SI</v>
      </c>
    </row>
    <row r="253" spans="10:11" x14ac:dyDescent="0.25">
      <c r="J253" s="196" t="str">
        <f t="shared" si="6"/>
        <v>Venta</v>
      </c>
      <c r="K253" s="196" t="str">
        <f t="shared" si="7"/>
        <v>SI</v>
      </c>
    </row>
    <row r="254" spans="10:11" x14ac:dyDescent="0.25">
      <c r="J254" s="196" t="str">
        <f t="shared" si="6"/>
        <v>Venta</v>
      </c>
      <c r="K254" s="196" t="str">
        <f t="shared" si="7"/>
        <v>SI</v>
      </c>
    </row>
    <row r="255" spans="10:11" x14ac:dyDescent="0.25">
      <c r="J255" s="196" t="str">
        <f t="shared" si="6"/>
        <v>Venta</v>
      </c>
      <c r="K255" s="196" t="str">
        <f t="shared" si="7"/>
        <v>SI</v>
      </c>
    </row>
    <row r="256" spans="10:11" x14ac:dyDescent="0.25">
      <c r="J256" s="196" t="str">
        <f t="shared" si="6"/>
        <v>Venta</v>
      </c>
      <c r="K256" s="196" t="str">
        <f t="shared" si="7"/>
        <v>SI</v>
      </c>
    </row>
    <row r="257" spans="10:11" x14ac:dyDescent="0.25">
      <c r="J257" s="196" t="str">
        <f t="shared" si="6"/>
        <v>Venta</v>
      </c>
      <c r="K257" s="196" t="str">
        <f t="shared" si="7"/>
        <v>SI</v>
      </c>
    </row>
    <row r="258" spans="10:11" x14ac:dyDescent="0.25">
      <c r="J258" s="196" t="str">
        <f t="shared" si="6"/>
        <v>Venta</v>
      </c>
      <c r="K258" s="196" t="str">
        <f t="shared" si="7"/>
        <v>SI</v>
      </c>
    </row>
    <row r="259" spans="10:11" x14ac:dyDescent="0.25">
      <c r="J259" s="196" t="str">
        <f t="shared" ref="J259:J322" si="8">+IF(D259="WNMC","Compra",IF(D259="WNMV","Venta",IF(D259="WEMC","Compra",IF(D259="WEMV","Venta",IF(D259="WENV","Venta",IF(D259="WENC","Compra",J258))))))</f>
        <v>Venta</v>
      </c>
      <c r="K259" s="196" t="str">
        <f t="shared" ref="K259:K322" si="9">+IF(D259="WNMC","NO",IF(D259="WNMV","NO",IF(D259="WEMC","NO",IF(D259="WEMV","NO",IF(D259="WENV","NO",IF(D259="WENC","NO","SI"))))))</f>
        <v>SI</v>
      </c>
    </row>
    <row r="260" spans="10:11" x14ac:dyDescent="0.25">
      <c r="J260" s="196" t="str">
        <f t="shared" si="8"/>
        <v>Venta</v>
      </c>
      <c r="K260" s="196" t="str">
        <f t="shared" si="9"/>
        <v>SI</v>
      </c>
    </row>
    <row r="261" spans="10:11" x14ac:dyDescent="0.25">
      <c r="J261" s="196" t="str">
        <f t="shared" si="8"/>
        <v>Venta</v>
      </c>
      <c r="K261" s="196" t="str">
        <f t="shared" si="9"/>
        <v>SI</v>
      </c>
    </row>
    <row r="262" spans="10:11" x14ac:dyDescent="0.25">
      <c r="J262" s="196" t="str">
        <f t="shared" si="8"/>
        <v>Venta</v>
      </c>
      <c r="K262" s="196" t="str">
        <f t="shared" si="9"/>
        <v>SI</v>
      </c>
    </row>
    <row r="263" spans="10:11" x14ac:dyDescent="0.25">
      <c r="J263" s="196" t="str">
        <f t="shared" si="8"/>
        <v>Venta</v>
      </c>
      <c r="K263" s="196" t="str">
        <f t="shared" si="9"/>
        <v>SI</v>
      </c>
    </row>
    <row r="264" spans="10:11" x14ac:dyDescent="0.25">
      <c r="J264" s="196" t="str">
        <f t="shared" si="8"/>
        <v>Venta</v>
      </c>
      <c r="K264" s="196" t="str">
        <f t="shared" si="9"/>
        <v>SI</v>
      </c>
    </row>
    <row r="265" spans="10:11" x14ac:dyDescent="0.25">
      <c r="J265" s="196" t="str">
        <f t="shared" si="8"/>
        <v>Venta</v>
      </c>
      <c r="K265" s="196" t="str">
        <f t="shared" si="9"/>
        <v>SI</v>
      </c>
    </row>
    <row r="266" spans="10:11" x14ac:dyDescent="0.25">
      <c r="J266" s="196" t="str">
        <f t="shared" si="8"/>
        <v>Venta</v>
      </c>
      <c r="K266" s="196" t="str">
        <f t="shared" si="9"/>
        <v>SI</v>
      </c>
    </row>
    <row r="267" spans="10:11" x14ac:dyDescent="0.25">
      <c r="J267" s="196" t="str">
        <f t="shared" si="8"/>
        <v>Venta</v>
      </c>
      <c r="K267" s="196" t="str">
        <f t="shared" si="9"/>
        <v>SI</v>
      </c>
    </row>
    <row r="268" spans="10:11" x14ac:dyDescent="0.25">
      <c r="J268" s="196" t="str">
        <f t="shared" si="8"/>
        <v>Venta</v>
      </c>
      <c r="K268" s="196" t="str">
        <f t="shared" si="9"/>
        <v>SI</v>
      </c>
    </row>
    <row r="269" spans="10:11" x14ac:dyDescent="0.25">
      <c r="J269" s="196" t="str">
        <f t="shared" si="8"/>
        <v>Venta</v>
      </c>
      <c r="K269" s="196" t="str">
        <f t="shared" si="9"/>
        <v>SI</v>
      </c>
    </row>
    <row r="270" spans="10:11" x14ac:dyDescent="0.25">
      <c r="J270" s="196" t="str">
        <f t="shared" si="8"/>
        <v>Venta</v>
      </c>
      <c r="K270" s="196" t="str">
        <f t="shared" si="9"/>
        <v>SI</v>
      </c>
    </row>
    <row r="271" spans="10:11" x14ac:dyDescent="0.25">
      <c r="J271" s="196" t="str">
        <f t="shared" si="8"/>
        <v>Venta</v>
      </c>
      <c r="K271" s="196" t="str">
        <f t="shared" si="9"/>
        <v>SI</v>
      </c>
    </row>
    <row r="272" spans="10:11" x14ac:dyDescent="0.25">
      <c r="J272" s="196" t="str">
        <f t="shared" si="8"/>
        <v>Venta</v>
      </c>
      <c r="K272" s="196" t="str">
        <f t="shared" si="9"/>
        <v>SI</v>
      </c>
    </row>
    <row r="273" spans="10:11" x14ac:dyDescent="0.25">
      <c r="J273" s="196" t="str">
        <f t="shared" si="8"/>
        <v>Venta</v>
      </c>
      <c r="K273" s="196" t="str">
        <f t="shared" si="9"/>
        <v>SI</v>
      </c>
    </row>
    <row r="274" spans="10:11" x14ac:dyDescent="0.25">
      <c r="J274" s="196" t="str">
        <f t="shared" si="8"/>
        <v>Venta</v>
      </c>
      <c r="K274" s="196" t="str">
        <f t="shared" si="9"/>
        <v>SI</v>
      </c>
    </row>
    <row r="275" spans="10:11" x14ac:dyDescent="0.25">
      <c r="J275" s="196" t="str">
        <f t="shared" si="8"/>
        <v>Venta</v>
      </c>
      <c r="K275" s="196" t="str">
        <f t="shared" si="9"/>
        <v>SI</v>
      </c>
    </row>
    <row r="276" spans="10:11" x14ac:dyDescent="0.25">
      <c r="J276" s="196" t="str">
        <f t="shared" si="8"/>
        <v>Venta</v>
      </c>
      <c r="K276" s="196" t="str">
        <f t="shared" si="9"/>
        <v>SI</v>
      </c>
    </row>
    <row r="277" spans="10:11" x14ac:dyDescent="0.25">
      <c r="J277" s="196" t="str">
        <f t="shared" si="8"/>
        <v>Venta</v>
      </c>
      <c r="K277" s="196" t="str">
        <f t="shared" si="9"/>
        <v>SI</v>
      </c>
    </row>
    <row r="278" spans="10:11" x14ac:dyDescent="0.25">
      <c r="J278" s="196" t="str">
        <f t="shared" si="8"/>
        <v>Venta</v>
      </c>
      <c r="K278" s="196" t="str">
        <f t="shared" si="9"/>
        <v>SI</v>
      </c>
    </row>
    <row r="279" spans="10:11" x14ac:dyDescent="0.25">
      <c r="J279" s="196" t="str">
        <f t="shared" si="8"/>
        <v>Venta</v>
      </c>
      <c r="K279" s="196" t="str">
        <f t="shared" si="9"/>
        <v>SI</v>
      </c>
    </row>
    <row r="280" spans="10:11" x14ac:dyDescent="0.25">
      <c r="J280" s="196" t="str">
        <f t="shared" si="8"/>
        <v>Venta</v>
      </c>
      <c r="K280" s="196" t="str">
        <f t="shared" si="9"/>
        <v>SI</v>
      </c>
    </row>
    <row r="281" spans="10:11" x14ac:dyDescent="0.25">
      <c r="J281" s="196" t="str">
        <f t="shared" si="8"/>
        <v>Venta</v>
      </c>
      <c r="K281" s="196" t="str">
        <f t="shared" si="9"/>
        <v>SI</v>
      </c>
    </row>
    <row r="282" spans="10:11" x14ac:dyDescent="0.25">
      <c r="J282" s="196" t="str">
        <f t="shared" si="8"/>
        <v>Venta</v>
      </c>
      <c r="K282" s="196" t="str">
        <f t="shared" si="9"/>
        <v>SI</v>
      </c>
    </row>
    <row r="283" spans="10:11" x14ac:dyDescent="0.25">
      <c r="J283" s="196" t="str">
        <f t="shared" si="8"/>
        <v>Venta</v>
      </c>
      <c r="K283" s="196" t="str">
        <f t="shared" si="9"/>
        <v>SI</v>
      </c>
    </row>
    <row r="284" spans="10:11" x14ac:dyDescent="0.25">
      <c r="J284" s="196" t="str">
        <f t="shared" si="8"/>
        <v>Venta</v>
      </c>
      <c r="K284" s="196" t="str">
        <f t="shared" si="9"/>
        <v>SI</v>
      </c>
    </row>
    <row r="285" spans="10:11" x14ac:dyDescent="0.25">
      <c r="J285" s="196" t="str">
        <f t="shared" si="8"/>
        <v>Venta</v>
      </c>
      <c r="K285" s="196" t="str">
        <f t="shared" si="9"/>
        <v>SI</v>
      </c>
    </row>
    <row r="286" spans="10:11" x14ac:dyDescent="0.25">
      <c r="J286" s="196" t="str">
        <f t="shared" si="8"/>
        <v>Venta</v>
      </c>
      <c r="K286" s="196" t="str">
        <f t="shared" si="9"/>
        <v>SI</v>
      </c>
    </row>
    <row r="287" spans="10:11" x14ac:dyDescent="0.25">
      <c r="J287" s="196" t="str">
        <f t="shared" si="8"/>
        <v>Venta</v>
      </c>
      <c r="K287" s="196" t="str">
        <f t="shared" si="9"/>
        <v>SI</v>
      </c>
    </row>
    <row r="288" spans="10:11" x14ac:dyDescent="0.25">
      <c r="J288" s="196" t="str">
        <f t="shared" si="8"/>
        <v>Venta</v>
      </c>
      <c r="K288" s="196" t="str">
        <f t="shared" si="9"/>
        <v>SI</v>
      </c>
    </row>
    <row r="289" spans="10:11" x14ac:dyDescent="0.25">
      <c r="J289" s="196" t="str">
        <f t="shared" si="8"/>
        <v>Venta</v>
      </c>
      <c r="K289" s="196" t="str">
        <f t="shared" si="9"/>
        <v>SI</v>
      </c>
    </row>
    <row r="290" spans="10:11" x14ac:dyDescent="0.25">
      <c r="J290" s="196" t="str">
        <f t="shared" si="8"/>
        <v>Venta</v>
      </c>
      <c r="K290" s="196" t="str">
        <f t="shared" si="9"/>
        <v>SI</v>
      </c>
    </row>
    <row r="291" spans="10:11" x14ac:dyDescent="0.25">
      <c r="J291" s="196" t="str">
        <f t="shared" si="8"/>
        <v>Venta</v>
      </c>
      <c r="K291" s="196" t="str">
        <f t="shared" si="9"/>
        <v>SI</v>
      </c>
    </row>
    <row r="292" spans="10:11" x14ac:dyDescent="0.25">
      <c r="J292" s="196" t="str">
        <f t="shared" si="8"/>
        <v>Venta</v>
      </c>
      <c r="K292" s="196" t="str">
        <f t="shared" si="9"/>
        <v>SI</v>
      </c>
    </row>
    <row r="293" spans="10:11" x14ac:dyDescent="0.25">
      <c r="J293" s="196" t="str">
        <f t="shared" si="8"/>
        <v>Venta</v>
      </c>
      <c r="K293" s="196" t="str">
        <f t="shared" si="9"/>
        <v>SI</v>
      </c>
    </row>
    <row r="294" spans="10:11" x14ac:dyDescent="0.25">
      <c r="J294" s="196" t="str">
        <f t="shared" si="8"/>
        <v>Venta</v>
      </c>
      <c r="K294" s="196" t="str">
        <f t="shared" si="9"/>
        <v>SI</v>
      </c>
    </row>
    <row r="295" spans="10:11" x14ac:dyDescent="0.25">
      <c r="J295" s="196" t="str">
        <f t="shared" si="8"/>
        <v>Venta</v>
      </c>
      <c r="K295" s="196" t="str">
        <f t="shared" si="9"/>
        <v>SI</v>
      </c>
    </row>
    <row r="296" spans="10:11" x14ac:dyDescent="0.25">
      <c r="J296" s="196" t="str">
        <f t="shared" si="8"/>
        <v>Venta</v>
      </c>
      <c r="K296" s="196" t="str">
        <f t="shared" si="9"/>
        <v>SI</v>
      </c>
    </row>
    <row r="297" spans="10:11" x14ac:dyDescent="0.25">
      <c r="J297" s="196" t="str">
        <f t="shared" si="8"/>
        <v>Venta</v>
      </c>
      <c r="K297" s="196" t="str">
        <f t="shared" si="9"/>
        <v>SI</v>
      </c>
    </row>
    <row r="298" spans="10:11" x14ac:dyDescent="0.25">
      <c r="J298" s="196" t="str">
        <f t="shared" si="8"/>
        <v>Venta</v>
      </c>
      <c r="K298" s="196" t="str">
        <f t="shared" si="9"/>
        <v>SI</v>
      </c>
    </row>
    <row r="299" spans="10:11" x14ac:dyDescent="0.25">
      <c r="J299" s="196" t="str">
        <f t="shared" si="8"/>
        <v>Venta</v>
      </c>
      <c r="K299" s="196" t="str">
        <f t="shared" si="9"/>
        <v>SI</v>
      </c>
    </row>
    <row r="300" spans="10:11" x14ac:dyDescent="0.25">
      <c r="J300" s="196" t="str">
        <f t="shared" si="8"/>
        <v>Venta</v>
      </c>
      <c r="K300" s="196" t="str">
        <f t="shared" si="9"/>
        <v>SI</v>
      </c>
    </row>
    <row r="301" spans="10:11" x14ac:dyDescent="0.25">
      <c r="J301" s="196" t="str">
        <f t="shared" si="8"/>
        <v>Venta</v>
      </c>
      <c r="K301" s="196" t="str">
        <f t="shared" si="9"/>
        <v>SI</v>
      </c>
    </row>
    <row r="302" spans="10:11" x14ac:dyDescent="0.25">
      <c r="J302" s="196" t="str">
        <f t="shared" si="8"/>
        <v>Venta</v>
      </c>
      <c r="K302" s="196" t="str">
        <f t="shared" si="9"/>
        <v>SI</v>
      </c>
    </row>
    <row r="303" spans="10:11" x14ac:dyDescent="0.25">
      <c r="J303" s="196" t="str">
        <f t="shared" si="8"/>
        <v>Venta</v>
      </c>
      <c r="K303" s="196" t="str">
        <f t="shared" si="9"/>
        <v>SI</v>
      </c>
    </row>
    <row r="304" spans="10:11" x14ac:dyDescent="0.25">
      <c r="J304" s="196" t="str">
        <f t="shared" si="8"/>
        <v>Venta</v>
      </c>
      <c r="K304" s="196" t="str">
        <f t="shared" si="9"/>
        <v>SI</v>
      </c>
    </row>
    <row r="305" spans="10:11" x14ac:dyDescent="0.25">
      <c r="J305" s="196" t="str">
        <f t="shared" si="8"/>
        <v>Venta</v>
      </c>
      <c r="K305" s="196" t="str">
        <f t="shared" si="9"/>
        <v>SI</v>
      </c>
    </row>
    <row r="306" spans="10:11" x14ac:dyDescent="0.25">
      <c r="J306" s="196" t="str">
        <f t="shared" si="8"/>
        <v>Venta</v>
      </c>
      <c r="K306" s="196" t="str">
        <f t="shared" si="9"/>
        <v>SI</v>
      </c>
    </row>
    <row r="307" spans="10:11" x14ac:dyDescent="0.25">
      <c r="J307" s="196" t="str">
        <f t="shared" si="8"/>
        <v>Venta</v>
      </c>
      <c r="K307" s="196" t="str">
        <f t="shared" si="9"/>
        <v>SI</v>
      </c>
    </row>
    <row r="308" spans="10:11" x14ac:dyDescent="0.25">
      <c r="J308" s="196" t="str">
        <f t="shared" si="8"/>
        <v>Venta</v>
      </c>
      <c r="K308" s="196" t="str">
        <f t="shared" si="9"/>
        <v>SI</v>
      </c>
    </row>
    <row r="309" spans="10:11" x14ac:dyDescent="0.25">
      <c r="J309" s="196" t="str">
        <f t="shared" si="8"/>
        <v>Venta</v>
      </c>
      <c r="K309" s="196" t="str">
        <f t="shared" si="9"/>
        <v>SI</v>
      </c>
    </row>
    <row r="310" spans="10:11" x14ac:dyDescent="0.25">
      <c r="J310" s="196" t="str">
        <f t="shared" si="8"/>
        <v>Venta</v>
      </c>
      <c r="K310" s="196" t="str">
        <f t="shared" si="9"/>
        <v>SI</v>
      </c>
    </row>
    <row r="311" spans="10:11" x14ac:dyDescent="0.25">
      <c r="J311" s="196" t="str">
        <f t="shared" si="8"/>
        <v>Venta</v>
      </c>
      <c r="K311" s="196" t="str">
        <f t="shared" si="9"/>
        <v>SI</v>
      </c>
    </row>
    <row r="312" spans="10:11" x14ac:dyDescent="0.25">
      <c r="J312" s="196" t="str">
        <f t="shared" si="8"/>
        <v>Venta</v>
      </c>
      <c r="K312" s="196" t="str">
        <f t="shared" si="9"/>
        <v>SI</v>
      </c>
    </row>
    <row r="313" spans="10:11" x14ac:dyDescent="0.25">
      <c r="J313" s="196" t="str">
        <f t="shared" si="8"/>
        <v>Venta</v>
      </c>
      <c r="K313" s="196" t="str">
        <f t="shared" si="9"/>
        <v>SI</v>
      </c>
    </row>
    <row r="314" spans="10:11" x14ac:dyDescent="0.25">
      <c r="J314" s="196" t="str">
        <f t="shared" si="8"/>
        <v>Venta</v>
      </c>
      <c r="K314" s="196" t="str">
        <f t="shared" si="9"/>
        <v>SI</v>
      </c>
    </row>
    <row r="315" spans="10:11" x14ac:dyDescent="0.25">
      <c r="J315" s="196" t="str">
        <f t="shared" si="8"/>
        <v>Venta</v>
      </c>
      <c r="K315" s="196" t="str">
        <f t="shared" si="9"/>
        <v>SI</v>
      </c>
    </row>
    <row r="316" spans="10:11" x14ac:dyDescent="0.25">
      <c r="J316" s="196" t="str">
        <f t="shared" si="8"/>
        <v>Venta</v>
      </c>
      <c r="K316" s="196" t="str">
        <f t="shared" si="9"/>
        <v>SI</v>
      </c>
    </row>
    <row r="317" spans="10:11" x14ac:dyDescent="0.25">
      <c r="J317" s="196" t="str">
        <f t="shared" si="8"/>
        <v>Venta</v>
      </c>
      <c r="K317" s="196" t="str">
        <f t="shared" si="9"/>
        <v>SI</v>
      </c>
    </row>
    <row r="318" spans="10:11" x14ac:dyDescent="0.25">
      <c r="J318" s="196" t="str">
        <f t="shared" si="8"/>
        <v>Venta</v>
      </c>
      <c r="K318" s="196" t="str">
        <f t="shared" si="9"/>
        <v>SI</v>
      </c>
    </row>
    <row r="319" spans="10:11" x14ac:dyDescent="0.25">
      <c r="J319" s="196" t="str">
        <f t="shared" si="8"/>
        <v>Venta</v>
      </c>
      <c r="K319" s="196" t="str">
        <f t="shared" si="9"/>
        <v>SI</v>
      </c>
    </row>
    <row r="320" spans="10:11" x14ac:dyDescent="0.25">
      <c r="J320" s="196" t="str">
        <f t="shared" si="8"/>
        <v>Venta</v>
      </c>
      <c r="K320" s="196" t="str">
        <f t="shared" si="9"/>
        <v>SI</v>
      </c>
    </row>
    <row r="321" spans="10:11" x14ac:dyDescent="0.25">
      <c r="J321" s="196" t="str">
        <f t="shared" si="8"/>
        <v>Venta</v>
      </c>
      <c r="K321" s="196" t="str">
        <f t="shared" si="9"/>
        <v>SI</v>
      </c>
    </row>
    <row r="322" spans="10:11" x14ac:dyDescent="0.25">
      <c r="J322" s="196" t="str">
        <f t="shared" si="8"/>
        <v>Venta</v>
      </c>
      <c r="K322" s="196" t="str">
        <f t="shared" si="9"/>
        <v>SI</v>
      </c>
    </row>
    <row r="323" spans="10:11" x14ac:dyDescent="0.25">
      <c r="J323" s="196" t="str">
        <f t="shared" ref="J323:J386" si="10">+IF(D323="WNMC","Compra",IF(D323="WNMV","Venta",IF(D323="WEMC","Compra",IF(D323="WEMV","Venta",IF(D323="WENV","Venta",IF(D323="WENC","Compra",J322))))))</f>
        <v>Venta</v>
      </c>
      <c r="K323" s="196" t="str">
        <f t="shared" ref="K323:K386" si="11">+IF(D323="WNMC","NO",IF(D323="WNMV","NO",IF(D323="WEMC","NO",IF(D323="WEMV","NO",IF(D323="WENV","NO",IF(D323="WENC","NO","SI"))))))</f>
        <v>SI</v>
      </c>
    </row>
    <row r="324" spans="10:11" x14ac:dyDescent="0.25">
      <c r="J324" s="196" t="str">
        <f t="shared" si="10"/>
        <v>Venta</v>
      </c>
      <c r="K324" s="196" t="str">
        <f t="shared" si="11"/>
        <v>SI</v>
      </c>
    </row>
    <row r="325" spans="10:11" x14ac:dyDescent="0.25">
      <c r="J325" s="196" t="str">
        <f t="shared" si="10"/>
        <v>Venta</v>
      </c>
      <c r="K325" s="196" t="str">
        <f t="shared" si="11"/>
        <v>SI</v>
      </c>
    </row>
    <row r="326" spans="10:11" x14ac:dyDescent="0.25">
      <c r="J326" s="196" t="str">
        <f t="shared" si="10"/>
        <v>Venta</v>
      </c>
      <c r="K326" s="196" t="str">
        <f t="shared" si="11"/>
        <v>SI</v>
      </c>
    </row>
    <row r="327" spans="10:11" x14ac:dyDescent="0.25">
      <c r="J327" s="196" t="str">
        <f t="shared" si="10"/>
        <v>Venta</v>
      </c>
      <c r="K327" s="196" t="str">
        <f t="shared" si="11"/>
        <v>SI</v>
      </c>
    </row>
    <row r="328" spans="10:11" x14ac:dyDescent="0.25">
      <c r="J328" s="196" t="str">
        <f t="shared" si="10"/>
        <v>Venta</v>
      </c>
      <c r="K328" s="196" t="str">
        <f t="shared" si="11"/>
        <v>SI</v>
      </c>
    </row>
    <row r="329" spans="10:11" x14ac:dyDescent="0.25">
      <c r="J329" s="196" t="str">
        <f t="shared" si="10"/>
        <v>Venta</v>
      </c>
      <c r="K329" s="196" t="str">
        <f t="shared" si="11"/>
        <v>SI</v>
      </c>
    </row>
    <row r="330" spans="10:11" x14ac:dyDescent="0.25">
      <c r="J330" s="196" t="str">
        <f t="shared" si="10"/>
        <v>Venta</v>
      </c>
      <c r="K330" s="196" t="str">
        <f t="shared" si="11"/>
        <v>SI</v>
      </c>
    </row>
    <row r="331" spans="10:11" x14ac:dyDescent="0.25">
      <c r="J331" s="196" t="str">
        <f t="shared" si="10"/>
        <v>Venta</v>
      </c>
      <c r="K331" s="196" t="str">
        <f t="shared" si="11"/>
        <v>SI</v>
      </c>
    </row>
    <row r="332" spans="10:11" x14ac:dyDescent="0.25">
      <c r="J332" s="196" t="str">
        <f t="shared" si="10"/>
        <v>Venta</v>
      </c>
      <c r="K332" s="196" t="str">
        <f t="shared" si="11"/>
        <v>SI</v>
      </c>
    </row>
    <row r="333" spans="10:11" x14ac:dyDescent="0.25">
      <c r="J333" s="196" t="str">
        <f t="shared" si="10"/>
        <v>Venta</v>
      </c>
      <c r="K333" s="196" t="str">
        <f t="shared" si="11"/>
        <v>SI</v>
      </c>
    </row>
    <row r="334" spans="10:11" x14ac:dyDescent="0.25">
      <c r="J334" s="196" t="str">
        <f t="shared" si="10"/>
        <v>Venta</v>
      </c>
      <c r="K334" s="196" t="str">
        <f t="shared" si="11"/>
        <v>SI</v>
      </c>
    </row>
    <row r="335" spans="10:11" x14ac:dyDescent="0.25">
      <c r="J335" s="196" t="str">
        <f t="shared" si="10"/>
        <v>Venta</v>
      </c>
      <c r="K335" s="196" t="str">
        <f t="shared" si="11"/>
        <v>SI</v>
      </c>
    </row>
    <row r="336" spans="10:11" x14ac:dyDescent="0.25">
      <c r="J336" s="196" t="str">
        <f t="shared" si="10"/>
        <v>Venta</v>
      </c>
      <c r="K336" s="196" t="str">
        <f t="shared" si="11"/>
        <v>SI</v>
      </c>
    </row>
    <row r="337" spans="10:11" x14ac:dyDescent="0.25">
      <c r="J337" s="196" t="str">
        <f t="shared" si="10"/>
        <v>Venta</v>
      </c>
      <c r="K337" s="196" t="str">
        <f t="shared" si="11"/>
        <v>SI</v>
      </c>
    </row>
    <row r="338" spans="10:11" x14ac:dyDescent="0.25">
      <c r="J338" s="196" t="str">
        <f t="shared" si="10"/>
        <v>Venta</v>
      </c>
      <c r="K338" s="196" t="str">
        <f t="shared" si="11"/>
        <v>SI</v>
      </c>
    </row>
    <row r="339" spans="10:11" x14ac:dyDescent="0.25">
      <c r="J339" s="196" t="str">
        <f t="shared" si="10"/>
        <v>Venta</v>
      </c>
      <c r="K339" s="196" t="str">
        <f t="shared" si="11"/>
        <v>SI</v>
      </c>
    </row>
    <row r="340" spans="10:11" x14ac:dyDescent="0.25">
      <c r="J340" s="196" t="str">
        <f t="shared" si="10"/>
        <v>Venta</v>
      </c>
      <c r="K340" s="196" t="str">
        <f t="shared" si="11"/>
        <v>SI</v>
      </c>
    </row>
    <row r="341" spans="10:11" x14ac:dyDescent="0.25">
      <c r="J341" s="196" t="str">
        <f t="shared" si="10"/>
        <v>Venta</v>
      </c>
      <c r="K341" s="196" t="str">
        <f t="shared" si="11"/>
        <v>SI</v>
      </c>
    </row>
    <row r="342" spans="10:11" x14ac:dyDescent="0.25">
      <c r="J342" s="196" t="str">
        <f t="shared" si="10"/>
        <v>Venta</v>
      </c>
      <c r="K342" s="196" t="str">
        <f t="shared" si="11"/>
        <v>SI</v>
      </c>
    </row>
    <row r="343" spans="10:11" x14ac:dyDescent="0.25">
      <c r="J343" s="196" t="str">
        <f t="shared" si="10"/>
        <v>Venta</v>
      </c>
      <c r="K343" s="196" t="str">
        <f t="shared" si="11"/>
        <v>SI</v>
      </c>
    </row>
    <row r="344" spans="10:11" x14ac:dyDescent="0.25">
      <c r="J344" s="196" t="str">
        <f t="shared" si="10"/>
        <v>Venta</v>
      </c>
      <c r="K344" s="196" t="str">
        <f t="shared" si="11"/>
        <v>SI</v>
      </c>
    </row>
    <row r="345" spans="10:11" x14ac:dyDescent="0.25">
      <c r="J345" s="196" t="str">
        <f t="shared" si="10"/>
        <v>Venta</v>
      </c>
      <c r="K345" s="196" t="str">
        <f t="shared" si="11"/>
        <v>SI</v>
      </c>
    </row>
    <row r="346" spans="10:11" x14ac:dyDescent="0.25">
      <c r="J346" s="196" t="str">
        <f t="shared" si="10"/>
        <v>Venta</v>
      </c>
      <c r="K346" s="196" t="str">
        <f t="shared" si="11"/>
        <v>SI</v>
      </c>
    </row>
    <row r="347" spans="10:11" x14ac:dyDescent="0.25">
      <c r="J347" s="196" t="str">
        <f t="shared" si="10"/>
        <v>Venta</v>
      </c>
      <c r="K347" s="196" t="str">
        <f t="shared" si="11"/>
        <v>SI</v>
      </c>
    </row>
    <row r="348" spans="10:11" x14ac:dyDescent="0.25">
      <c r="J348" s="196" t="str">
        <f t="shared" si="10"/>
        <v>Venta</v>
      </c>
      <c r="K348" s="196" t="str">
        <f t="shared" si="11"/>
        <v>SI</v>
      </c>
    </row>
    <row r="349" spans="10:11" x14ac:dyDescent="0.25">
      <c r="J349" s="196" t="str">
        <f t="shared" si="10"/>
        <v>Venta</v>
      </c>
      <c r="K349" s="196" t="str">
        <f t="shared" si="11"/>
        <v>SI</v>
      </c>
    </row>
    <row r="350" spans="10:11" x14ac:dyDescent="0.25">
      <c r="J350" s="196" t="str">
        <f t="shared" si="10"/>
        <v>Venta</v>
      </c>
      <c r="K350" s="196" t="str">
        <f t="shared" si="11"/>
        <v>SI</v>
      </c>
    </row>
    <row r="351" spans="10:11" x14ac:dyDescent="0.25">
      <c r="J351" s="196" t="str">
        <f t="shared" si="10"/>
        <v>Venta</v>
      </c>
      <c r="K351" s="196" t="str">
        <f t="shared" si="11"/>
        <v>SI</v>
      </c>
    </row>
    <row r="352" spans="10:11" x14ac:dyDescent="0.25">
      <c r="J352" s="196" t="str">
        <f t="shared" si="10"/>
        <v>Venta</v>
      </c>
      <c r="K352" s="196" t="str">
        <f t="shared" si="11"/>
        <v>SI</v>
      </c>
    </row>
    <row r="353" spans="10:11" x14ac:dyDescent="0.25">
      <c r="J353" s="196" t="str">
        <f t="shared" si="10"/>
        <v>Venta</v>
      </c>
      <c r="K353" s="196" t="str">
        <f t="shared" si="11"/>
        <v>SI</v>
      </c>
    </row>
    <row r="354" spans="10:11" x14ac:dyDescent="0.25">
      <c r="J354" s="196" t="str">
        <f t="shared" si="10"/>
        <v>Venta</v>
      </c>
      <c r="K354" s="196" t="str">
        <f t="shared" si="11"/>
        <v>SI</v>
      </c>
    </row>
    <row r="355" spans="10:11" x14ac:dyDescent="0.25">
      <c r="J355" s="196" t="str">
        <f t="shared" si="10"/>
        <v>Venta</v>
      </c>
      <c r="K355" s="196" t="str">
        <f t="shared" si="11"/>
        <v>SI</v>
      </c>
    </row>
    <row r="356" spans="10:11" x14ac:dyDescent="0.25">
      <c r="J356" s="196" t="str">
        <f t="shared" si="10"/>
        <v>Venta</v>
      </c>
      <c r="K356" s="196" t="str">
        <f t="shared" si="11"/>
        <v>SI</v>
      </c>
    </row>
    <row r="357" spans="10:11" x14ac:dyDescent="0.25">
      <c r="J357" s="196" t="str">
        <f t="shared" si="10"/>
        <v>Venta</v>
      </c>
      <c r="K357" s="196" t="str">
        <f t="shared" si="11"/>
        <v>SI</v>
      </c>
    </row>
    <row r="358" spans="10:11" x14ac:dyDescent="0.25">
      <c r="J358" s="196" t="str">
        <f t="shared" si="10"/>
        <v>Venta</v>
      </c>
      <c r="K358" s="196" t="str">
        <f t="shared" si="11"/>
        <v>SI</v>
      </c>
    </row>
    <row r="359" spans="10:11" x14ac:dyDescent="0.25">
      <c r="J359" s="196" t="str">
        <f t="shared" si="10"/>
        <v>Venta</v>
      </c>
      <c r="K359" s="196" t="str">
        <f t="shared" si="11"/>
        <v>SI</v>
      </c>
    </row>
    <row r="360" spans="10:11" x14ac:dyDescent="0.25">
      <c r="J360" s="196" t="str">
        <f t="shared" si="10"/>
        <v>Venta</v>
      </c>
      <c r="K360" s="196" t="str">
        <f t="shared" si="11"/>
        <v>SI</v>
      </c>
    </row>
    <row r="361" spans="10:11" x14ac:dyDescent="0.25">
      <c r="J361" s="196" t="str">
        <f t="shared" si="10"/>
        <v>Venta</v>
      </c>
      <c r="K361" s="196" t="str">
        <f t="shared" si="11"/>
        <v>SI</v>
      </c>
    </row>
    <row r="362" spans="10:11" x14ac:dyDescent="0.25">
      <c r="J362" s="196" t="str">
        <f t="shared" si="10"/>
        <v>Venta</v>
      </c>
      <c r="K362" s="196" t="str">
        <f t="shared" si="11"/>
        <v>SI</v>
      </c>
    </row>
    <row r="363" spans="10:11" x14ac:dyDescent="0.25">
      <c r="J363" s="196" t="str">
        <f t="shared" si="10"/>
        <v>Venta</v>
      </c>
      <c r="K363" s="196" t="str">
        <f t="shared" si="11"/>
        <v>SI</v>
      </c>
    </row>
    <row r="364" spans="10:11" x14ac:dyDescent="0.25">
      <c r="J364" s="196" t="str">
        <f t="shared" si="10"/>
        <v>Venta</v>
      </c>
      <c r="K364" s="196" t="str">
        <f t="shared" si="11"/>
        <v>SI</v>
      </c>
    </row>
    <row r="365" spans="10:11" x14ac:dyDescent="0.25">
      <c r="J365" s="196" t="str">
        <f t="shared" si="10"/>
        <v>Venta</v>
      </c>
      <c r="K365" s="196" t="str">
        <f t="shared" si="11"/>
        <v>SI</v>
      </c>
    </row>
    <row r="366" spans="10:11" x14ac:dyDescent="0.25">
      <c r="J366" s="196" t="str">
        <f t="shared" si="10"/>
        <v>Venta</v>
      </c>
      <c r="K366" s="196" t="str">
        <f t="shared" si="11"/>
        <v>SI</v>
      </c>
    </row>
    <row r="367" spans="10:11" x14ac:dyDescent="0.25">
      <c r="J367" s="196" t="str">
        <f t="shared" si="10"/>
        <v>Venta</v>
      </c>
      <c r="K367" s="196" t="str">
        <f t="shared" si="11"/>
        <v>SI</v>
      </c>
    </row>
    <row r="368" spans="10:11" x14ac:dyDescent="0.25">
      <c r="J368" s="196" t="str">
        <f t="shared" si="10"/>
        <v>Venta</v>
      </c>
      <c r="K368" s="196" t="str">
        <f t="shared" si="11"/>
        <v>SI</v>
      </c>
    </row>
    <row r="369" spans="10:11" x14ac:dyDescent="0.25">
      <c r="J369" s="196" t="str">
        <f t="shared" si="10"/>
        <v>Venta</v>
      </c>
      <c r="K369" s="196" t="str">
        <f t="shared" si="11"/>
        <v>SI</v>
      </c>
    </row>
    <row r="370" spans="10:11" x14ac:dyDescent="0.25">
      <c r="J370" s="196" t="str">
        <f t="shared" si="10"/>
        <v>Venta</v>
      </c>
      <c r="K370" s="196" t="str">
        <f t="shared" si="11"/>
        <v>SI</v>
      </c>
    </row>
    <row r="371" spans="10:11" x14ac:dyDescent="0.25">
      <c r="J371" s="196" t="str">
        <f t="shared" si="10"/>
        <v>Venta</v>
      </c>
      <c r="K371" s="196" t="str">
        <f t="shared" si="11"/>
        <v>SI</v>
      </c>
    </row>
    <row r="372" spans="10:11" x14ac:dyDescent="0.25">
      <c r="J372" s="196" t="str">
        <f t="shared" si="10"/>
        <v>Venta</v>
      </c>
      <c r="K372" s="196" t="str">
        <f t="shared" si="11"/>
        <v>SI</v>
      </c>
    </row>
    <row r="373" spans="10:11" x14ac:dyDescent="0.25">
      <c r="J373" s="196" t="str">
        <f t="shared" si="10"/>
        <v>Venta</v>
      </c>
      <c r="K373" s="196" t="str">
        <f t="shared" si="11"/>
        <v>SI</v>
      </c>
    </row>
    <row r="374" spans="10:11" x14ac:dyDescent="0.25">
      <c r="J374" s="196" t="str">
        <f t="shared" si="10"/>
        <v>Venta</v>
      </c>
      <c r="K374" s="196" t="str">
        <f t="shared" si="11"/>
        <v>SI</v>
      </c>
    </row>
    <row r="375" spans="10:11" x14ac:dyDescent="0.25">
      <c r="J375" s="196" t="str">
        <f t="shared" si="10"/>
        <v>Venta</v>
      </c>
      <c r="K375" s="196" t="str">
        <f t="shared" si="11"/>
        <v>SI</v>
      </c>
    </row>
    <row r="376" spans="10:11" x14ac:dyDescent="0.25">
      <c r="J376" s="196" t="str">
        <f t="shared" si="10"/>
        <v>Venta</v>
      </c>
      <c r="K376" s="196" t="str">
        <f t="shared" si="11"/>
        <v>SI</v>
      </c>
    </row>
    <row r="377" spans="10:11" x14ac:dyDescent="0.25">
      <c r="J377" s="196" t="str">
        <f t="shared" si="10"/>
        <v>Venta</v>
      </c>
      <c r="K377" s="196" t="str">
        <f t="shared" si="11"/>
        <v>SI</v>
      </c>
    </row>
    <row r="378" spans="10:11" x14ac:dyDescent="0.25">
      <c r="J378" s="196" t="str">
        <f t="shared" si="10"/>
        <v>Venta</v>
      </c>
      <c r="K378" s="196" t="str">
        <f t="shared" si="11"/>
        <v>SI</v>
      </c>
    </row>
    <row r="379" spans="10:11" x14ac:dyDescent="0.25">
      <c r="J379" s="196" t="str">
        <f t="shared" si="10"/>
        <v>Venta</v>
      </c>
      <c r="K379" s="196" t="str">
        <f t="shared" si="11"/>
        <v>SI</v>
      </c>
    </row>
    <row r="380" spans="10:11" x14ac:dyDescent="0.25">
      <c r="J380" s="196" t="str">
        <f t="shared" si="10"/>
        <v>Venta</v>
      </c>
      <c r="K380" s="196" t="str">
        <f t="shared" si="11"/>
        <v>SI</v>
      </c>
    </row>
    <row r="381" spans="10:11" x14ac:dyDescent="0.25">
      <c r="J381" s="196" t="str">
        <f t="shared" si="10"/>
        <v>Venta</v>
      </c>
      <c r="K381" s="196" t="str">
        <f t="shared" si="11"/>
        <v>SI</v>
      </c>
    </row>
    <row r="382" spans="10:11" x14ac:dyDescent="0.25">
      <c r="J382" s="196" t="str">
        <f t="shared" si="10"/>
        <v>Venta</v>
      </c>
      <c r="K382" s="196" t="str">
        <f t="shared" si="11"/>
        <v>SI</v>
      </c>
    </row>
    <row r="383" spans="10:11" x14ac:dyDescent="0.25">
      <c r="J383" s="196" t="str">
        <f t="shared" si="10"/>
        <v>Venta</v>
      </c>
      <c r="K383" s="196" t="str">
        <f t="shared" si="11"/>
        <v>SI</v>
      </c>
    </row>
    <row r="384" spans="10:11" x14ac:dyDescent="0.25">
      <c r="J384" s="196" t="str">
        <f t="shared" si="10"/>
        <v>Venta</v>
      </c>
      <c r="K384" s="196" t="str">
        <f t="shared" si="11"/>
        <v>SI</v>
      </c>
    </row>
    <row r="385" spans="10:11" x14ac:dyDescent="0.25">
      <c r="J385" s="196" t="str">
        <f t="shared" si="10"/>
        <v>Venta</v>
      </c>
      <c r="K385" s="196" t="str">
        <f t="shared" si="11"/>
        <v>SI</v>
      </c>
    </row>
    <row r="386" spans="10:11" x14ac:dyDescent="0.25">
      <c r="J386" s="196" t="str">
        <f t="shared" si="10"/>
        <v>Venta</v>
      </c>
      <c r="K386" s="196" t="str">
        <f t="shared" si="11"/>
        <v>SI</v>
      </c>
    </row>
    <row r="387" spans="10:11" x14ac:dyDescent="0.25">
      <c r="J387" s="196" t="str">
        <f t="shared" ref="J387:J450" si="12">+IF(D387="WNMC","Compra",IF(D387="WNMV","Venta",IF(D387="WEMC","Compra",IF(D387="WEMV","Venta",IF(D387="WENV","Venta",IF(D387="WENC","Compra",J386))))))</f>
        <v>Venta</v>
      </c>
      <c r="K387" s="196" t="str">
        <f t="shared" ref="K387:K450" si="13">+IF(D387="WNMC","NO",IF(D387="WNMV","NO",IF(D387="WEMC","NO",IF(D387="WEMV","NO",IF(D387="WENV","NO",IF(D387="WENC","NO","SI"))))))</f>
        <v>SI</v>
      </c>
    </row>
    <row r="388" spans="10:11" x14ac:dyDescent="0.25">
      <c r="J388" s="196" t="str">
        <f t="shared" si="12"/>
        <v>Venta</v>
      </c>
      <c r="K388" s="196" t="str">
        <f t="shared" si="13"/>
        <v>SI</v>
      </c>
    </row>
    <row r="389" spans="10:11" x14ac:dyDescent="0.25">
      <c r="J389" s="196" t="str">
        <f t="shared" si="12"/>
        <v>Venta</v>
      </c>
      <c r="K389" s="196" t="str">
        <f t="shared" si="13"/>
        <v>SI</v>
      </c>
    </row>
    <row r="390" spans="10:11" x14ac:dyDescent="0.25">
      <c r="J390" s="196" t="str">
        <f t="shared" si="12"/>
        <v>Venta</v>
      </c>
      <c r="K390" s="196" t="str">
        <f t="shared" si="13"/>
        <v>SI</v>
      </c>
    </row>
    <row r="391" spans="10:11" x14ac:dyDescent="0.25">
      <c r="J391" s="196" t="str">
        <f t="shared" si="12"/>
        <v>Venta</v>
      </c>
      <c r="K391" s="196" t="str">
        <f t="shared" si="13"/>
        <v>SI</v>
      </c>
    </row>
    <row r="392" spans="10:11" x14ac:dyDescent="0.25">
      <c r="J392" s="196" t="str">
        <f t="shared" si="12"/>
        <v>Venta</v>
      </c>
      <c r="K392" s="196" t="str">
        <f t="shared" si="13"/>
        <v>SI</v>
      </c>
    </row>
    <row r="393" spans="10:11" x14ac:dyDescent="0.25">
      <c r="J393" s="196" t="str">
        <f t="shared" si="12"/>
        <v>Venta</v>
      </c>
      <c r="K393" s="196" t="str">
        <f t="shared" si="13"/>
        <v>SI</v>
      </c>
    </row>
    <row r="394" spans="10:11" x14ac:dyDescent="0.25">
      <c r="J394" s="196" t="str">
        <f t="shared" si="12"/>
        <v>Venta</v>
      </c>
      <c r="K394" s="196" t="str">
        <f t="shared" si="13"/>
        <v>SI</v>
      </c>
    </row>
    <row r="395" spans="10:11" x14ac:dyDescent="0.25">
      <c r="J395" s="196" t="str">
        <f t="shared" si="12"/>
        <v>Venta</v>
      </c>
      <c r="K395" s="196" t="str">
        <f t="shared" si="13"/>
        <v>SI</v>
      </c>
    </row>
    <row r="396" spans="10:11" x14ac:dyDescent="0.25">
      <c r="J396" s="196" t="str">
        <f t="shared" si="12"/>
        <v>Venta</v>
      </c>
      <c r="K396" s="196" t="str">
        <f t="shared" si="13"/>
        <v>SI</v>
      </c>
    </row>
    <row r="397" spans="10:11" x14ac:dyDescent="0.25">
      <c r="J397" s="196" t="str">
        <f t="shared" si="12"/>
        <v>Venta</v>
      </c>
      <c r="K397" s="196" t="str">
        <f t="shared" si="13"/>
        <v>SI</v>
      </c>
    </row>
    <row r="398" spans="10:11" x14ac:dyDescent="0.25">
      <c r="J398" s="196" t="str">
        <f t="shared" si="12"/>
        <v>Venta</v>
      </c>
      <c r="K398" s="196" t="str">
        <f t="shared" si="13"/>
        <v>SI</v>
      </c>
    </row>
    <row r="399" spans="10:11" x14ac:dyDescent="0.25">
      <c r="J399" s="196" t="str">
        <f t="shared" si="12"/>
        <v>Venta</v>
      </c>
      <c r="K399" s="196" t="str">
        <f t="shared" si="13"/>
        <v>SI</v>
      </c>
    </row>
    <row r="400" spans="10:11" x14ac:dyDescent="0.25">
      <c r="J400" s="196" t="str">
        <f t="shared" si="12"/>
        <v>Venta</v>
      </c>
      <c r="K400" s="196" t="str">
        <f t="shared" si="13"/>
        <v>SI</v>
      </c>
    </row>
    <row r="401" spans="10:11" x14ac:dyDescent="0.25">
      <c r="J401" s="196" t="str">
        <f t="shared" si="12"/>
        <v>Venta</v>
      </c>
      <c r="K401" s="196" t="str">
        <f t="shared" si="13"/>
        <v>SI</v>
      </c>
    </row>
    <row r="402" spans="10:11" x14ac:dyDescent="0.25">
      <c r="J402" s="196" t="str">
        <f t="shared" si="12"/>
        <v>Venta</v>
      </c>
      <c r="K402" s="196" t="str">
        <f t="shared" si="13"/>
        <v>SI</v>
      </c>
    </row>
    <row r="403" spans="10:11" x14ac:dyDescent="0.25">
      <c r="J403" s="196" t="str">
        <f t="shared" si="12"/>
        <v>Venta</v>
      </c>
      <c r="K403" s="196" t="str">
        <f t="shared" si="13"/>
        <v>SI</v>
      </c>
    </row>
    <row r="404" spans="10:11" x14ac:dyDescent="0.25">
      <c r="J404" s="196" t="str">
        <f t="shared" si="12"/>
        <v>Venta</v>
      </c>
      <c r="K404" s="196" t="str">
        <f t="shared" si="13"/>
        <v>SI</v>
      </c>
    </row>
    <row r="405" spans="10:11" x14ac:dyDescent="0.25">
      <c r="J405" s="196" t="str">
        <f t="shared" si="12"/>
        <v>Venta</v>
      </c>
      <c r="K405" s="196" t="str">
        <f t="shared" si="13"/>
        <v>SI</v>
      </c>
    </row>
    <row r="406" spans="10:11" x14ac:dyDescent="0.25">
      <c r="J406" s="196" t="str">
        <f t="shared" si="12"/>
        <v>Venta</v>
      </c>
      <c r="K406" s="196" t="str">
        <f t="shared" si="13"/>
        <v>SI</v>
      </c>
    </row>
    <row r="407" spans="10:11" x14ac:dyDescent="0.25">
      <c r="J407" s="196" t="str">
        <f t="shared" si="12"/>
        <v>Venta</v>
      </c>
      <c r="K407" s="196" t="str">
        <f t="shared" si="13"/>
        <v>SI</v>
      </c>
    </row>
    <row r="408" spans="10:11" x14ac:dyDescent="0.25">
      <c r="J408" s="196" t="str">
        <f t="shared" si="12"/>
        <v>Venta</v>
      </c>
      <c r="K408" s="196" t="str">
        <f t="shared" si="13"/>
        <v>SI</v>
      </c>
    </row>
    <row r="409" spans="10:11" x14ac:dyDescent="0.25">
      <c r="J409" s="196" t="str">
        <f t="shared" si="12"/>
        <v>Venta</v>
      </c>
      <c r="K409" s="196" t="str">
        <f t="shared" si="13"/>
        <v>SI</v>
      </c>
    </row>
    <row r="410" spans="10:11" x14ac:dyDescent="0.25">
      <c r="J410" s="196" t="str">
        <f t="shared" si="12"/>
        <v>Venta</v>
      </c>
      <c r="K410" s="196" t="str">
        <f t="shared" si="13"/>
        <v>SI</v>
      </c>
    </row>
    <row r="411" spans="10:11" x14ac:dyDescent="0.25">
      <c r="J411" s="196" t="str">
        <f t="shared" si="12"/>
        <v>Venta</v>
      </c>
      <c r="K411" s="196" t="str">
        <f t="shared" si="13"/>
        <v>SI</v>
      </c>
    </row>
    <row r="412" spans="10:11" x14ac:dyDescent="0.25">
      <c r="J412" s="196" t="str">
        <f t="shared" si="12"/>
        <v>Venta</v>
      </c>
      <c r="K412" s="196" t="str">
        <f t="shared" si="13"/>
        <v>SI</v>
      </c>
    </row>
    <row r="413" spans="10:11" x14ac:dyDescent="0.25">
      <c r="J413" s="196" t="str">
        <f t="shared" si="12"/>
        <v>Venta</v>
      </c>
      <c r="K413" s="196" t="str">
        <f t="shared" si="13"/>
        <v>SI</v>
      </c>
    </row>
    <row r="414" spans="10:11" x14ac:dyDescent="0.25">
      <c r="J414" s="196" t="str">
        <f t="shared" si="12"/>
        <v>Venta</v>
      </c>
      <c r="K414" s="196" t="str">
        <f t="shared" si="13"/>
        <v>SI</v>
      </c>
    </row>
    <row r="415" spans="10:11" x14ac:dyDescent="0.25">
      <c r="J415" s="196" t="str">
        <f t="shared" si="12"/>
        <v>Venta</v>
      </c>
      <c r="K415" s="196" t="str">
        <f t="shared" si="13"/>
        <v>SI</v>
      </c>
    </row>
    <row r="416" spans="10:11" x14ac:dyDescent="0.25">
      <c r="J416" s="196" t="str">
        <f t="shared" si="12"/>
        <v>Venta</v>
      </c>
      <c r="K416" s="196" t="str">
        <f t="shared" si="13"/>
        <v>SI</v>
      </c>
    </row>
    <row r="417" spans="10:11" x14ac:dyDescent="0.25">
      <c r="J417" s="196" t="str">
        <f t="shared" si="12"/>
        <v>Venta</v>
      </c>
      <c r="K417" s="196" t="str">
        <f t="shared" si="13"/>
        <v>SI</v>
      </c>
    </row>
    <row r="418" spans="10:11" x14ac:dyDescent="0.25">
      <c r="J418" s="196" t="str">
        <f t="shared" si="12"/>
        <v>Venta</v>
      </c>
      <c r="K418" s="196" t="str">
        <f t="shared" si="13"/>
        <v>SI</v>
      </c>
    </row>
    <row r="419" spans="10:11" x14ac:dyDescent="0.25">
      <c r="J419" s="196" t="str">
        <f t="shared" si="12"/>
        <v>Venta</v>
      </c>
      <c r="K419" s="196" t="str">
        <f t="shared" si="13"/>
        <v>SI</v>
      </c>
    </row>
    <row r="420" spans="10:11" x14ac:dyDescent="0.25">
      <c r="J420" s="196" t="str">
        <f t="shared" si="12"/>
        <v>Venta</v>
      </c>
      <c r="K420" s="196" t="str">
        <f t="shared" si="13"/>
        <v>SI</v>
      </c>
    </row>
    <row r="421" spans="10:11" x14ac:dyDescent="0.25">
      <c r="J421" s="196" t="str">
        <f t="shared" si="12"/>
        <v>Venta</v>
      </c>
      <c r="K421" s="196" t="str">
        <f t="shared" si="13"/>
        <v>SI</v>
      </c>
    </row>
    <row r="422" spans="10:11" x14ac:dyDescent="0.25">
      <c r="J422" s="196" t="str">
        <f t="shared" si="12"/>
        <v>Venta</v>
      </c>
      <c r="K422" s="196" t="str">
        <f t="shared" si="13"/>
        <v>SI</v>
      </c>
    </row>
    <row r="423" spans="10:11" x14ac:dyDescent="0.25">
      <c r="J423" s="196" t="str">
        <f t="shared" si="12"/>
        <v>Venta</v>
      </c>
      <c r="K423" s="196" t="str">
        <f t="shared" si="13"/>
        <v>SI</v>
      </c>
    </row>
    <row r="424" spans="10:11" x14ac:dyDescent="0.25">
      <c r="J424" s="196" t="str">
        <f t="shared" si="12"/>
        <v>Venta</v>
      </c>
      <c r="K424" s="196" t="str">
        <f t="shared" si="13"/>
        <v>SI</v>
      </c>
    </row>
    <row r="425" spans="10:11" x14ac:dyDescent="0.25">
      <c r="J425" s="196" t="str">
        <f t="shared" si="12"/>
        <v>Venta</v>
      </c>
      <c r="K425" s="196" t="str">
        <f t="shared" si="13"/>
        <v>SI</v>
      </c>
    </row>
    <row r="426" spans="10:11" x14ac:dyDescent="0.25">
      <c r="J426" s="196" t="str">
        <f t="shared" si="12"/>
        <v>Venta</v>
      </c>
      <c r="K426" s="196" t="str">
        <f t="shared" si="13"/>
        <v>SI</v>
      </c>
    </row>
    <row r="427" spans="10:11" x14ac:dyDescent="0.25">
      <c r="J427" s="196" t="str">
        <f t="shared" si="12"/>
        <v>Venta</v>
      </c>
      <c r="K427" s="196" t="str">
        <f t="shared" si="13"/>
        <v>SI</v>
      </c>
    </row>
    <row r="428" spans="10:11" x14ac:dyDescent="0.25">
      <c r="J428" s="196" t="str">
        <f t="shared" si="12"/>
        <v>Venta</v>
      </c>
      <c r="K428" s="196" t="str">
        <f t="shared" si="13"/>
        <v>SI</v>
      </c>
    </row>
    <row r="429" spans="10:11" x14ac:dyDescent="0.25">
      <c r="J429" s="196" t="str">
        <f t="shared" si="12"/>
        <v>Venta</v>
      </c>
      <c r="K429" s="196" t="str">
        <f t="shared" si="13"/>
        <v>SI</v>
      </c>
    </row>
    <row r="430" spans="10:11" x14ac:dyDescent="0.25">
      <c r="J430" s="196" t="str">
        <f t="shared" si="12"/>
        <v>Venta</v>
      </c>
      <c r="K430" s="196" t="str">
        <f t="shared" si="13"/>
        <v>SI</v>
      </c>
    </row>
    <row r="431" spans="10:11" x14ac:dyDescent="0.25">
      <c r="J431" s="196" t="str">
        <f t="shared" si="12"/>
        <v>Venta</v>
      </c>
      <c r="K431" s="196" t="str">
        <f t="shared" si="13"/>
        <v>SI</v>
      </c>
    </row>
    <row r="432" spans="10:11" x14ac:dyDescent="0.25">
      <c r="J432" s="196" t="str">
        <f t="shared" si="12"/>
        <v>Venta</v>
      </c>
      <c r="K432" s="196" t="str">
        <f t="shared" si="13"/>
        <v>SI</v>
      </c>
    </row>
    <row r="433" spans="10:11" x14ac:dyDescent="0.25">
      <c r="J433" s="196" t="str">
        <f t="shared" si="12"/>
        <v>Venta</v>
      </c>
      <c r="K433" s="196" t="str">
        <f t="shared" si="13"/>
        <v>SI</v>
      </c>
    </row>
    <row r="434" spans="10:11" x14ac:dyDescent="0.25">
      <c r="J434" s="196" t="str">
        <f t="shared" si="12"/>
        <v>Venta</v>
      </c>
      <c r="K434" s="196" t="str">
        <f t="shared" si="13"/>
        <v>SI</v>
      </c>
    </row>
    <row r="435" spans="10:11" x14ac:dyDescent="0.25">
      <c r="J435" s="196" t="str">
        <f t="shared" si="12"/>
        <v>Venta</v>
      </c>
      <c r="K435" s="196" t="str">
        <f t="shared" si="13"/>
        <v>SI</v>
      </c>
    </row>
    <row r="436" spans="10:11" x14ac:dyDescent="0.25">
      <c r="J436" s="196" t="str">
        <f t="shared" si="12"/>
        <v>Venta</v>
      </c>
      <c r="K436" s="196" t="str">
        <f t="shared" si="13"/>
        <v>SI</v>
      </c>
    </row>
    <row r="437" spans="10:11" x14ac:dyDescent="0.25">
      <c r="J437" s="196" t="str">
        <f t="shared" si="12"/>
        <v>Venta</v>
      </c>
      <c r="K437" s="196" t="str">
        <f t="shared" si="13"/>
        <v>SI</v>
      </c>
    </row>
    <row r="438" spans="10:11" x14ac:dyDescent="0.25">
      <c r="J438" s="196" t="str">
        <f t="shared" si="12"/>
        <v>Venta</v>
      </c>
      <c r="K438" s="196" t="str">
        <f t="shared" si="13"/>
        <v>SI</v>
      </c>
    </row>
    <row r="439" spans="10:11" x14ac:dyDescent="0.25">
      <c r="J439" s="196" t="str">
        <f t="shared" si="12"/>
        <v>Venta</v>
      </c>
      <c r="K439" s="196" t="str">
        <f t="shared" si="13"/>
        <v>SI</v>
      </c>
    </row>
    <row r="440" spans="10:11" x14ac:dyDescent="0.25">
      <c r="J440" s="196" t="str">
        <f t="shared" si="12"/>
        <v>Venta</v>
      </c>
      <c r="K440" s="196" t="str">
        <f t="shared" si="13"/>
        <v>SI</v>
      </c>
    </row>
    <row r="441" spans="10:11" x14ac:dyDescent="0.25">
      <c r="J441" s="196" t="str">
        <f t="shared" si="12"/>
        <v>Venta</v>
      </c>
      <c r="K441" s="196" t="str">
        <f t="shared" si="13"/>
        <v>SI</v>
      </c>
    </row>
    <row r="442" spans="10:11" x14ac:dyDescent="0.25">
      <c r="J442" s="196" t="str">
        <f t="shared" si="12"/>
        <v>Venta</v>
      </c>
      <c r="K442" s="196" t="str">
        <f t="shared" si="13"/>
        <v>SI</v>
      </c>
    </row>
    <row r="443" spans="10:11" x14ac:dyDescent="0.25">
      <c r="J443" s="196" t="str">
        <f t="shared" si="12"/>
        <v>Venta</v>
      </c>
      <c r="K443" s="196" t="str">
        <f t="shared" si="13"/>
        <v>SI</v>
      </c>
    </row>
    <row r="444" spans="10:11" x14ac:dyDescent="0.25">
      <c r="J444" s="196" t="str">
        <f t="shared" si="12"/>
        <v>Venta</v>
      </c>
      <c r="K444" s="196" t="str">
        <f t="shared" si="13"/>
        <v>SI</v>
      </c>
    </row>
    <row r="445" spans="10:11" x14ac:dyDescent="0.25">
      <c r="J445" s="196" t="str">
        <f t="shared" si="12"/>
        <v>Venta</v>
      </c>
      <c r="K445" s="196" t="str">
        <f t="shared" si="13"/>
        <v>SI</v>
      </c>
    </row>
    <row r="446" spans="10:11" x14ac:dyDescent="0.25">
      <c r="J446" s="196" t="str">
        <f t="shared" si="12"/>
        <v>Venta</v>
      </c>
      <c r="K446" s="196" t="str">
        <f t="shared" si="13"/>
        <v>SI</v>
      </c>
    </row>
    <row r="447" spans="10:11" x14ac:dyDescent="0.25">
      <c r="J447" s="196" t="str">
        <f t="shared" si="12"/>
        <v>Venta</v>
      </c>
      <c r="K447" s="196" t="str">
        <f t="shared" si="13"/>
        <v>SI</v>
      </c>
    </row>
    <row r="448" spans="10:11" x14ac:dyDescent="0.25">
      <c r="J448" s="196" t="str">
        <f t="shared" si="12"/>
        <v>Venta</v>
      </c>
      <c r="K448" s="196" t="str">
        <f t="shared" si="13"/>
        <v>SI</v>
      </c>
    </row>
    <row r="449" spans="10:11" x14ac:dyDescent="0.25">
      <c r="J449" s="196" t="str">
        <f t="shared" si="12"/>
        <v>Venta</v>
      </c>
      <c r="K449" s="196" t="str">
        <f t="shared" si="13"/>
        <v>SI</v>
      </c>
    </row>
    <row r="450" spans="10:11" x14ac:dyDescent="0.25">
      <c r="J450" s="196" t="str">
        <f t="shared" si="12"/>
        <v>Venta</v>
      </c>
      <c r="K450" s="196" t="str">
        <f t="shared" si="13"/>
        <v>SI</v>
      </c>
    </row>
    <row r="451" spans="10:11" x14ac:dyDescent="0.25">
      <c r="J451" s="196" t="str">
        <f t="shared" ref="J451:J514" si="14">+IF(D451="WNMC","Compra",IF(D451="WNMV","Venta",IF(D451="WEMC","Compra",IF(D451="WEMV","Venta",IF(D451="WENV","Venta",IF(D451="WENC","Compra",J450))))))</f>
        <v>Venta</v>
      </c>
      <c r="K451" s="196" t="str">
        <f t="shared" ref="K451:K514" si="15">+IF(D451="WNMC","NO",IF(D451="WNMV","NO",IF(D451="WEMC","NO",IF(D451="WEMV","NO",IF(D451="WENV","NO",IF(D451="WENC","NO","SI"))))))</f>
        <v>SI</v>
      </c>
    </row>
    <row r="452" spans="10:11" x14ac:dyDescent="0.25">
      <c r="J452" s="196" t="str">
        <f t="shared" si="14"/>
        <v>Venta</v>
      </c>
      <c r="K452" s="196" t="str">
        <f t="shared" si="15"/>
        <v>SI</v>
      </c>
    </row>
    <row r="453" spans="10:11" x14ac:dyDescent="0.25">
      <c r="J453" s="196" t="str">
        <f t="shared" si="14"/>
        <v>Venta</v>
      </c>
      <c r="K453" s="196" t="str">
        <f t="shared" si="15"/>
        <v>SI</v>
      </c>
    </row>
    <row r="454" spans="10:11" x14ac:dyDescent="0.25">
      <c r="J454" s="196" t="str">
        <f t="shared" si="14"/>
        <v>Venta</v>
      </c>
      <c r="K454" s="196" t="str">
        <f t="shared" si="15"/>
        <v>SI</v>
      </c>
    </row>
    <row r="455" spans="10:11" x14ac:dyDescent="0.25">
      <c r="J455" s="196" t="str">
        <f t="shared" si="14"/>
        <v>Venta</v>
      </c>
      <c r="K455" s="196" t="str">
        <f t="shared" si="15"/>
        <v>SI</v>
      </c>
    </row>
    <row r="456" spans="10:11" x14ac:dyDescent="0.25">
      <c r="J456" s="196" t="str">
        <f t="shared" si="14"/>
        <v>Venta</v>
      </c>
      <c r="K456" s="196" t="str">
        <f t="shared" si="15"/>
        <v>SI</v>
      </c>
    </row>
    <row r="457" spans="10:11" x14ac:dyDescent="0.25">
      <c r="J457" s="196" t="str">
        <f t="shared" si="14"/>
        <v>Venta</v>
      </c>
      <c r="K457" s="196" t="str">
        <f t="shared" si="15"/>
        <v>SI</v>
      </c>
    </row>
    <row r="458" spans="10:11" x14ac:dyDescent="0.25">
      <c r="J458" s="196" t="str">
        <f t="shared" si="14"/>
        <v>Venta</v>
      </c>
      <c r="K458" s="196" t="str">
        <f t="shared" si="15"/>
        <v>SI</v>
      </c>
    </row>
    <row r="459" spans="10:11" x14ac:dyDescent="0.25">
      <c r="J459" s="196" t="str">
        <f t="shared" si="14"/>
        <v>Venta</v>
      </c>
      <c r="K459" s="196" t="str">
        <f t="shared" si="15"/>
        <v>SI</v>
      </c>
    </row>
    <row r="460" spans="10:11" x14ac:dyDescent="0.25">
      <c r="J460" s="196" t="str">
        <f t="shared" si="14"/>
        <v>Venta</v>
      </c>
      <c r="K460" s="196" t="str">
        <f t="shared" si="15"/>
        <v>SI</v>
      </c>
    </row>
    <row r="461" spans="10:11" x14ac:dyDescent="0.25">
      <c r="J461" s="196" t="str">
        <f t="shared" si="14"/>
        <v>Venta</v>
      </c>
      <c r="K461" s="196" t="str">
        <f t="shared" si="15"/>
        <v>SI</v>
      </c>
    </row>
    <row r="462" spans="10:11" x14ac:dyDescent="0.25">
      <c r="J462" s="196" t="str">
        <f t="shared" si="14"/>
        <v>Venta</v>
      </c>
      <c r="K462" s="196" t="str">
        <f t="shared" si="15"/>
        <v>SI</v>
      </c>
    </row>
    <row r="463" spans="10:11" x14ac:dyDescent="0.25">
      <c r="J463" s="196" t="str">
        <f t="shared" si="14"/>
        <v>Venta</v>
      </c>
      <c r="K463" s="196" t="str">
        <f t="shared" si="15"/>
        <v>SI</v>
      </c>
    </row>
    <row r="464" spans="10:11" x14ac:dyDescent="0.25">
      <c r="J464" s="196" t="str">
        <f t="shared" si="14"/>
        <v>Venta</v>
      </c>
      <c r="K464" s="196" t="str">
        <f t="shared" si="15"/>
        <v>SI</v>
      </c>
    </row>
    <row r="465" spans="10:11" x14ac:dyDescent="0.25">
      <c r="J465" s="196" t="str">
        <f t="shared" si="14"/>
        <v>Venta</v>
      </c>
      <c r="K465" s="196" t="str">
        <f t="shared" si="15"/>
        <v>SI</v>
      </c>
    </row>
    <row r="466" spans="10:11" x14ac:dyDescent="0.25">
      <c r="J466" s="196" t="str">
        <f t="shared" si="14"/>
        <v>Venta</v>
      </c>
      <c r="K466" s="196" t="str">
        <f t="shared" si="15"/>
        <v>SI</v>
      </c>
    </row>
    <row r="467" spans="10:11" x14ac:dyDescent="0.25">
      <c r="J467" s="196" t="str">
        <f t="shared" si="14"/>
        <v>Venta</v>
      </c>
      <c r="K467" s="196" t="str">
        <f t="shared" si="15"/>
        <v>SI</v>
      </c>
    </row>
    <row r="468" spans="10:11" x14ac:dyDescent="0.25">
      <c r="J468" s="196" t="str">
        <f t="shared" si="14"/>
        <v>Venta</v>
      </c>
      <c r="K468" s="196" t="str">
        <f t="shared" si="15"/>
        <v>SI</v>
      </c>
    </row>
    <row r="469" spans="10:11" x14ac:dyDescent="0.25">
      <c r="J469" s="196" t="str">
        <f t="shared" si="14"/>
        <v>Venta</v>
      </c>
      <c r="K469" s="196" t="str">
        <f t="shared" si="15"/>
        <v>SI</v>
      </c>
    </row>
    <row r="470" spans="10:11" x14ac:dyDescent="0.25">
      <c r="J470" s="196" t="str">
        <f t="shared" si="14"/>
        <v>Venta</v>
      </c>
      <c r="K470" s="196" t="str">
        <f t="shared" si="15"/>
        <v>SI</v>
      </c>
    </row>
    <row r="471" spans="10:11" x14ac:dyDescent="0.25">
      <c r="J471" s="196" t="str">
        <f t="shared" si="14"/>
        <v>Venta</v>
      </c>
      <c r="K471" s="196" t="str">
        <f t="shared" si="15"/>
        <v>SI</v>
      </c>
    </row>
    <row r="472" spans="10:11" x14ac:dyDescent="0.25">
      <c r="J472" s="196" t="str">
        <f t="shared" si="14"/>
        <v>Venta</v>
      </c>
      <c r="K472" s="196" t="str">
        <f t="shared" si="15"/>
        <v>SI</v>
      </c>
    </row>
    <row r="473" spans="10:11" x14ac:dyDescent="0.25">
      <c r="J473" s="196" t="str">
        <f t="shared" si="14"/>
        <v>Venta</v>
      </c>
      <c r="K473" s="196" t="str">
        <f t="shared" si="15"/>
        <v>SI</v>
      </c>
    </row>
    <row r="474" spans="10:11" x14ac:dyDescent="0.25">
      <c r="J474" s="196" t="str">
        <f t="shared" si="14"/>
        <v>Venta</v>
      </c>
      <c r="K474" s="196" t="str">
        <f t="shared" si="15"/>
        <v>SI</v>
      </c>
    </row>
    <row r="475" spans="10:11" x14ac:dyDescent="0.25">
      <c r="J475" s="196" t="str">
        <f t="shared" si="14"/>
        <v>Venta</v>
      </c>
      <c r="K475" s="196" t="str">
        <f t="shared" si="15"/>
        <v>SI</v>
      </c>
    </row>
    <row r="476" spans="10:11" x14ac:dyDescent="0.25">
      <c r="J476" s="196" t="str">
        <f t="shared" si="14"/>
        <v>Venta</v>
      </c>
      <c r="K476" s="196" t="str">
        <f t="shared" si="15"/>
        <v>SI</v>
      </c>
    </row>
    <row r="477" spans="10:11" x14ac:dyDescent="0.25">
      <c r="J477" s="196" t="str">
        <f t="shared" si="14"/>
        <v>Venta</v>
      </c>
      <c r="K477" s="196" t="str">
        <f t="shared" si="15"/>
        <v>SI</v>
      </c>
    </row>
    <row r="478" spans="10:11" x14ac:dyDescent="0.25">
      <c r="J478" s="196" t="str">
        <f t="shared" si="14"/>
        <v>Venta</v>
      </c>
      <c r="K478" s="196" t="str">
        <f t="shared" si="15"/>
        <v>SI</v>
      </c>
    </row>
    <row r="479" spans="10:11" x14ac:dyDescent="0.25">
      <c r="J479" s="196" t="str">
        <f t="shared" si="14"/>
        <v>Venta</v>
      </c>
      <c r="K479" s="196" t="str">
        <f t="shared" si="15"/>
        <v>SI</v>
      </c>
    </row>
    <row r="480" spans="10:11" x14ac:dyDescent="0.25">
      <c r="J480" s="196" t="str">
        <f t="shared" si="14"/>
        <v>Venta</v>
      </c>
      <c r="K480" s="196" t="str">
        <f t="shared" si="15"/>
        <v>SI</v>
      </c>
    </row>
    <row r="481" spans="10:11" x14ac:dyDescent="0.25">
      <c r="J481" s="196" t="str">
        <f t="shared" si="14"/>
        <v>Venta</v>
      </c>
      <c r="K481" s="196" t="str">
        <f t="shared" si="15"/>
        <v>SI</v>
      </c>
    </row>
    <row r="482" spans="10:11" x14ac:dyDescent="0.25">
      <c r="J482" s="196" t="str">
        <f t="shared" si="14"/>
        <v>Venta</v>
      </c>
      <c r="K482" s="196" t="str">
        <f t="shared" si="15"/>
        <v>SI</v>
      </c>
    </row>
    <row r="483" spans="10:11" x14ac:dyDescent="0.25">
      <c r="J483" s="196" t="str">
        <f t="shared" si="14"/>
        <v>Venta</v>
      </c>
      <c r="K483" s="196" t="str">
        <f t="shared" si="15"/>
        <v>SI</v>
      </c>
    </row>
    <row r="484" spans="10:11" x14ac:dyDescent="0.25">
      <c r="J484" s="196" t="str">
        <f t="shared" si="14"/>
        <v>Venta</v>
      </c>
      <c r="K484" s="196" t="str">
        <f t="shared" si="15"/>
        <v>SI</v>
      </c>
    </row>
    <row r="485" spans="10:11" x14ac:dyDescent="0.25">
      <c r="J485" s="196" t="str">
        <f t="shared" si="14"/>
        <v>Venta</v>
      </c>
      <c r="K485" s="196" t="str">
        <f t="shared" si="15"/>
        <v>SI</v>
      </c>
    </row>
    <row r="486" spans="10:11" x14ac:dyDescent="0.25">
      <c r="J486" s="196" t="str">
        <f t="shared" si="14"/>
        <v>Venta</v>
      </c>
      <c r="K486" s="196" t="str">
        <f t="shared" si="15"/>
        <v>SI</v>
      </c>
    </row>
    <row r="487" spans="10:11" x14ac:dyDescent="0.25">
      <c r="J487" s="196" t="str">
        <f t="shared" si="14"/>
        <v>Venta</v>
      </c>
      <c r="K487" s="196" t="str">
        <f t="shared" si="15"/>
        <v>SI</v>
      </c>
    </row>
    <row r="488" spans="10:11" x14ac:dyDescent="0.25">
      <c r="J488" s="196" t="str">
        <f t="shared" si="14"/>
        <v>Venta</v>
      </c>
      <c r="K488" s="196" t="str">
        <f t="shared" si="15"/>
        <v>SI</v>
      </c>
    </row>
    <row r="489" spans="10:11" x14ac:dyDescent="0.25">
      <c r="J489" s="196" t="str">
        <f t="shared" si="14"/>
        <v>Venta</v>
      </c>
      <c r="K489" s="196" t="str">
        <f t="shared" si="15"/>
        <v>SI</v>
      </c>
    </row>
    <row r="490" spans="10:11" x14ac:dyDescent="0.25">
      <c r="J490" s="196" t="str">
        <f t="shared" si="14"/>
        <v>Venta</v>
      </c>
      <c r="K490" s="196" t="str">
        <f t="shared" si="15"/>
        <v>SI</v>
      </c>
    </row>
    <row r="491" spans="10:11" x14ac:dyDescent="0.25">
      <c r="J491" s="196" t="str">
        <f t="shared" si="14"/>
        <v>Venta</v>
      </c>
      <c r="K491" s="196" t="str">
        <f t="shared" si="15"/>
        <v>SI</v>
      </c>
    </row>
    <row r="492" spans="10:11" x14ac:dyDescent="0.25">
      <c r="J492" s="196" t="str">
        <f t="shared" si="14"/>
        <v>Venta</v>
      </c>
      <c r="K492" s="196" t="str">
        <f t="shared" si="15"/>
        <v>SI</v>
      </c>
    </row>
    <row r="493" spans="10:11" x14ac:dyDescent="0.25">
      <c r="J493" s="196" t="str">
        <f t="shared" si="14"/>
        <v>Venta</v>
      </c>
      <c r="K493" s="196" t="str">
        <f t="shared" si="15"/>
        <v>SI</v>
      </c>
    </row>
    <row r="494" spans="10:11" x14ac:dyDescent="0.25">
      <c r="J494" s="196" t="str">
        <f t="shared" si="14"/>
        <v>Venta</v>
      </c>
      <c r="K494" s="196" t="str">
        <f t="shared" si="15"/>
        <v>SI</v>
      </c>
    </row>
    <row r="495" spans="10:11" x14ac:dyDescent="0.25">
      <c r="J495" s="196" t="str">
        <f t="shared" si="14"/>
        <v>Venta</v>
      </c>
      <c r="K495" s="196" t="str">
        <f t="shared" si="15"/>
        <v>SI</v>
      </c>
    </row>
    <row r="496" spans="10:11" x14ac:dyDescent="0.25">
      <c r="J496" s="196" t="str">
        <f t="shared" si="14"/>
        <v>Venta</v>
      </c>
      <c r="K496" s="196" t="str">
        <f t="shared" si="15"/>
        <v>SI</v>
      </c>
    </row>
    <row r="497" spans="10:11" x14ac:dyDescent="0.25">
      <c r="J497" s="196" t="str">
        <f t="shared" si="14"/>
        <v>Venta</v>
      </c>
      <c r="K497" s="196" t="str">
        <f t="shared" si="15"/>
        <v>SI</v>
      </c>
    </row>
    <row r="498" spans="10:11" x14ac:dyDescent="0.25">
      <c r="J498" s="196" t="str">
        <f t="shared" si="14"/>
        <v>Venta</v>
      </c>
      <c r="K498" s="196" t="str">
        <f t="shared" si="15"/>
        <v>SI</v>
      </c>
    </row>
    <row r="499" spans="10:11" x14ac:dyDescent="0.25">
      <c r="J499" s="196" t="str">
        <f t="shared" si="14"/>
        <v>Venta</v>
      </c>
      <c r="K499" s="196" t="str">
        <f t="shared" si="15"/>
        <v>SI</v>
      </c>
    </row>
    <row r="500" spans="10:11" x14ac:dyDescent="0.25">
      <c r="J500" s="196" t="str">
        <f t="shared" si="14"/>
        <v>Venta</v>
      </c>
      <c r="K500" s="196" t="str">
        <f t="shared" si="15"/>
        <v>SI</v>
      </c>
    </row>
    <row r="501" spans="10:11" x14ac:dyDescent="0.25">
      <c r="J501" s="196" t="str">
        <f t="shared" si="14"/>
        <v>Venta</v>
      </c>
      <c r="K501" s="196" t="str">
        <f t="shared" si="15"/>
        <v>SI</v>
      </c>
    </row>
    <row r="502" spans="10:11" x14ac:dyDescent="0.25">
      <c r="J502" s="196" t="str">
        <f t="shared" si="14"/>
        <v>Venta</v>
      </c>
      <c r="K502" s="196" t="str">
        <f t="shared" si="15"/>
        <v>SI</v>
      </c>
    </row>
    <row r="503" spans="10:11" x14ac:dyDescent="0.25">
      <c r="J503" s="196" t="str">
        <f t="shared" si="14"/>
        <v>Venta</v>
      </c>
      <c r="K503" s="196" t="str">
        <f t="shared" si="15"/>
        <v>SI</v>
      </c>
    </row>
    <row r="504" spans="10:11" x14ac:dyDescent="0.25">
      <c r="J504" s="196" t="str">
        <f t="shared" si="14"/>
        <v>Venta</v>
      </c>
      <c r="K504" s="196" t="str">
        <f t="shared" si="15"/>
        <v>SI</v>
      </c>
    </row>
    <row r="505" spans="10:11" x14ac:dyDescent="0.25">
      <c r="J505" s="196" t="str">
        <f t="shared" si="14"/>
        <v>Venta</v>
      </c>
      <c r="K505" s="196" t="str">
        <f t="shared" si="15"/>
        <v>SI</v>
      </c>
    </row>
    <row r="506" spans="10:11" x14ac:dyDescent="0.25">
      <c r="J506" s="196" t="str">
        <f t="shared" si="14"/>
        <v>Venta</v>
      </c>
      <c r="K506" s="196" t="str">
        <f t="shared" si="15"/>
        <v>SI</v>
      </c>
    </row>
    <row r="507" spans="10:11" x14ac:dyDescent="0.25">
      <c r="J507" s="196" t="str">
        <f t="shared" si="14"/>
        <v>Venta</v>
      </c>
      <c r="K507" s="196" t="str">
        <f t="shared" si="15"/>
        <v>SI</v>
      </c>
    </row>
    <row r="508" spans="10:11" x14ac:dyDescent="0.25">
      <c r="J508" s="196" t="str">
        <f t="shared" si="14"/>
        <v>Venta</v>
      </c>
      <c r="K508" s="196" t="str">
        <f t="shared" si="15"/>
        <v>SI</v>
      </c>
    </row>
    <row r="509" spans="10:11" x14ac:dyDescent="0.25">
      <c r="J509" s="196" t="str">
        <f t="shared" si="14"/>
        <v>Venta</v>
      </c>
      <c r="K509" s="196" t="str">
        <f t="shared" si="15"/>
        <v>SI</v>
      </c>
    </row>
    <row r="510" spans="10:11" x14ac:dyDescent="0.25">
      <c r="J510" s="196" t="str">
        <f t="shared" si="14"/>
        <v>Venta</v>
      </c>
      <c r="K510" s="196" t="str">
        <f t="shared" si="15"/>
        <v>SI</v>
      </c>
    </row>
    <row r="511" spans="10:11" x14ac:dyDescent="0.25">
      <c r="J511" s="196" t="str">
        <f t="shared" si="14"/>
        <v>Venta</v>
      </c>
      <c r="K511" s="196" t="str">
        <f t="shared" si="15"/>
        <v>SI</v>
      </c>
    </row>
    <row r="512" spans="10:11" x14ac:dyDescent="0.25">
      <c r="J512" s="196" t="str">
        <f t="shared" si="14"/>
        <v>Venta</v>
      </c>
      <c r="K512" s="196" t="str">
        <f t="shared" si="15"/>
        <v>SI</v>
      </c>
    </row>
    <row r="513" spans="10:11" x14ac:dyDescent="0.25">
      <c r="J513" s="196" t="str">
        <f t="shared" si="14"/>
        <v>Venta</v>
      </c>
      <c r="K513" s="196" t="str">
        <f t="shared" si="15"/>
        <v>SI</v>
      </c>
    </row>
    <row r="514" spans="10:11" x14ac:dyDescent="0.25">
      <c r="J514" s="196" t="str">
        <f t="shared" si="14"/>
        <v>Venta</v>
      </c>
      <c r="K514" s="196" t="str">
        <f t="shared" si="15"/>
        <v>SI</v>
      </c>
    </row>
    <row r="515" spans="10:11" x14ac:dyDescent="0.25">
      <c r="J515" s="196" t="str">
        <f t="shared" ref="J515:J577" si="16">+IF(D515="WNMC","Compra",IF(D515="WNMV","Venta",IF(D515="WEMC","Compra",IF(D515="WEMV","Venta",IF(D515="WENV","Venta",IF(D515="WENC","Compra",J514))))))</f>
        <v>Venta</v>
      </c>
      <c r="K515" s="196" t="str">
        <f t="shared" ref="K515:K577" si="17">+IF(D515="WNMC","NO",IF(D515="WNMV","NO",IF(D515="WEMC","NO",IF(D515="WEMV","NO",IF(D515="WENV","NO",IF(D515="WENC","NO","SI"))))))</f>
        <v>SI</v>
      </c>
    </row>
    <row r="516" spans="10:11" x14ac:dyDescent="0.25">
      <c r="J516" s="196" t="str">
        <f t="shared" si="16"/>
        <v>Venta</v>
      </c>
      <c r="K516" s="196" t="str">
        <f t="shared" si="17"/>
        <v>SI</v>
      </c>
    </row>
    <row r="517" spans="10:11" x14ac:dyDescent="0.25">
      <c r="J517" s="196" t="str">
        <f t="shared" si="16"/>
        <v>Venta</v>
      </c>
      <c r="K517" s="196" t="str">
        <f t="shared" si="17"/>
        <v>SI</v>
      </c>
    </row>
    <row r="518" spans="10:11" x14ac:dyDescent="0.25">
      <c r="J518" s="196" t="str">
        <f t="shared" si="16"/>
        <v>Venta</v>
      </c>
      <c r="K518" s="196" t="str">
        <f t="shared" si="17"/>
        <v>SI</v>
      </c>
    </row>
    <row r="519" spans="10:11" x14ac:dyDescent="0.25">
      <c r="J519" s="196" t="str">
        <f t="shared" si="16"/>
        <v>Venta</v>
      </c>
      <c r="K519" s="196" t="str">
        <f t="shared" si="17"/>
        <v>SI</v>
      </c>
    </row>
    <row r="520" spans="10:11" x14ac:dyDescent="0.25">
      <c r="J520" s="196" t="str">
        <f t="shared" si="16"/>
        <v>Venta</v>
      </c>
      <c r="K520" s="196" t="str">
        <f t="shared" si="17"/>
        <v>SI</v>
      </c>
    </row>
    <row r="521" spans="10:11" x14ac:dyDescent="0.25">
      <c r="J521" s="196" t="str">
        <f t="shared" si="16"/>
        <v>Venta</v>
      </c>
      <c r="K521" s="196" t="str">
        <f t="shared" si="17"/>
        <v>SI</v>
      </c>
    </row>
    <row r="522" spans="10:11" x14ac:dyDescent="0.25">
      <c r="J522" s="196" t="str">
        <f t="shared" si="16"/>
        <v>Venta</v>
      </c>
      <c r="K522" s="196" t="str">
        <f t="shared" si="17"/>
        <v>SI</v>
      </c>
    </row>
    <row r="523" spans="10:11" x14ac:dyDescent="0.25">
      <c r="J523" s="196" t="str">
        <f t="shared" si="16"/>
        <v>Venta</v>
      </c>
      <c r="K523" s="196" t="str">
        <f t="shared" si="17"/>
        <v>SI</v>
      </c>
    </row>
    <row r="524" spans="10:11" x14ac:dyDescent="0.25">
      <c r="J524" s="196" t="str">
        <f t="shared" si="16"/>
        <v>Venta</v>
      </c>
      <c r="K524" s="196" t="str">
        <f t="shared" si="17"/>
        <v>SI</v>
      </c>
    </row>
    <row r="525" spans="10:11" x14ac:dyDescent="0.25">
      <c r="J525" s="196" t="str">
        <f t="shared" si="16"/>
        <v>Venta</v>
      </c>
      <c r="K525" s="196" t="str">
        <f t="shared" si="17"/>
        <v>SI</v>
      </c>
    </row>
    <row r="526" spans="10:11" x14ac:dyDescent="0.25">
      <c r="J526" s="196" t="str">
        <f t="shared" si="16"/>
        <v>Venta</v>
      </c>
      <c r="K526" s="196" t="str">
        <f t="shared" si="17"/>
        <v>SI</v>
      </c>
    </row>
    <row r="527" spans="10:11" x14ac:dyDescent="0.25">
      <c r="J527" s="196" t="str">
        <f t="shared" si="16"/>
        <v>Venta</v>
      </c>
      <c r="K527" s="196" t="str">
        <f t="shared" si="17"/>
        <v>SI</v>
      </c>
    </row>
    <row r="528" spans="10:11" x14ac:dyDescent="0.25">
      <c r="J528" s="196" t="str">
        <f t="shared" si="16"/>
        <v>Venta</v>
      </c>
      <c r="K528" s="196" t="str">
        <f t="shared" si="17"/>
        <v>SI</v>
      </c>
    </row>
    <row r="529" spans="10:11" x14ac:dyDescent="0.25">
      <c r="J529" s="196" t="str">
        <f t="shared" si="16"/>
        <v>Venta</v>
      </c>
      <c r="K529" s="196" t="str">
        <f t="shared" si="17"/>
        <v>SI</v>
      </c>
    </row>
    <row r="530" spans="10:11" x14ac:dyDescent="0.25">
      <c r="J530" s="196" t="str">
        <f t="shared" si="16"/>
        <v>Venta</v>
      </c>
      <c r="K530" s="196" t="str">
        <f t="shared" si="17"/>
        <v>SI</v>
      </c>
    </row>
    <row r="531" spans="10:11" x14ac:dyDescent="0.25">
      <c r="J531" s="196" t="str">
        <f t="shared" si="16"/>
        <v>Venta</v>
      </c>
      <c r="K531" s="196" t="str">
        <f t="shared" si="17"/>
        <v>SI</v>
      </c>
    </row>
    <row r="532" spans="10:11" x14ac:dyDescent="0.25">
      <c r="J532" s="196" t="str">
        <f t="shared" si="16"/>
        <v>Venta</v>
      </c>
      <c r="K532" s="196" t="str">
        <f t="shared" si="17"/>
        <v>SI</v>
      </c>
    </row>
    <row r="533" spans="10:11" x14ac:dyDescent="0.25">
      <c r="J533" s="196" t="str">
        <f t="shared" si="16"/>
        <v>Venta</v>
      </c>
      <c r="K533" s="196" t="str">
        <f t="shared" si="17"/>
        <v>SI</v>
      </c>
    </row>
    <row r="534" spans="10:11" x14ac:dyDescent="0.25">
      <c r="J534" s="196" t="str">
        <f t="shared" si="16"/>
        <v>Venta</v>
      </c>
      <c r="K534" s="196" t="str">
        <f t="shared" si="17"/>
        <v>SI</v>
      </c>
    </row>
    <row r="535" spans="10:11" x14ac:dyDescent="0.25">
      <c r="J535" s="196" t="str">
        <f t="shared" si="16"/>
        <v>Venta</v>
      </c>
      <c r="K535" s="196" t="str">
        <f t="shared" si="17"/>
        <v>SI</v>
      </c>
    </row>
    <row r="536" spans="10:11" x14ac:dyDescent="0.25">
      <c r="J536" s="196" t="str">
        <f t="shared" si="16"/>
        <v>Venta</v>
      </c>
      <c r="K536" s="196" t="str">
        <f t="shared" si="17"/>
        <v>SI</v>
      </c>
    </row>
    <row r="537" spans="10:11" x14ac:dyDescent="0.25">
      <c r="J537" s="196" t="str">
        <f t="shared" si="16"/>
        <v>Venta</v>
      </c>
      <c r="K537" s="196" t="str">
        <f t="shared" si="17"/>
        <v>SI</v>
      </c>
    </row>
    <row r="538" spans="10:11" x14ac:dyDescent="0.25">
      <c r="J538" s="196" t="str">
        <f t="shared" si="16"/>
        <v>Venta</v>
      </c>
      <c r="K538" s="196" t="str">
        <f t="shared" si="17"/>
        <v>SI</v>
      </c>
    </row>
    <row r="539" spans="10:11" x14ac:dyDescent="0.25">
      <c r="J539" s="196" t="str">
        <f t="shared" si="16"/>
        <v>Venta</v>
      </c>
      <c r="K539" s="196" t="str">
        <f t="shared" si="17"/>
        <v>SI</v>
      </c>
    </row>
    <row r="540" spans="10:11" x14ac:dyDescent="0.25">
      <c r="J540" s="196" t="str">
        <f t="shared" si="16"/>
        <v>Venta</v>
      </c>
      <c r="K540" s="196" t="str">
        <f t="shared" si="17"/>
        <v>SI</v>
      </c>
    </row>
    <row r="541" spans="10:11" x14ac:dyDescent="0.25">
      <c r="J541" s="196" t="str">
        <f t="shared" si="16"/>
        <v>Venta</v>
      </c>
      <c r="K541" s="196" t="str">
        <f t="shared" si="17"/>
        <v>SI</v>
      </c>
    </row>
    <row r="542" spans="10:11" x14ac:dyDescent="0.25">
      <c r="J542" s="196" t="str">
        <f t="shared" si="16"/>
        <v>Venta</v>
      </c>
      <c r="K542" s="196" t="str">
        <f t="shared" si="17"/>
        <v>SI</v>
      </c>
    </row>
    <row r="543" spans="10:11" x14ac:dyDescent="0.25">
      <c r="J543" s="196" t="str">
        <f t="shared" si="16"/>
        <v>Venta</v>
      </c>
      <c r="K543" s="196" t="str">
        <f t="shared" si="17"/>
        <v>SI</v>
      </c>
    </row>
    <row r="544" spans="10:11" x14ac:dyDescent="0.25">
      <c r="J544" s="196" t="str">
        <f t="shared" si="16"/>
        <v>Venta</v>
      </c>
      <c r="K544" s="196" t="str">
        <f t="shared" si="17"/>
        <v>SI</v>
      </c>
    </row>
    <row r="545" spans="10:11" x14ac:dyDescent="0.25">
      <c r="J545" s="196" t="str">
        <f t="shared" si="16"/>
        <v>Venta</v>
      </c>
      <c r="K545" s="196" t="str">
        <f t="shared" si="17"/>
        <v>SI</v>
      </c>
    </row>
    <row r="546" spans="10:11" x14ac:dyDescent="0.25">
      <c r="J546" s="196" t="str">
        <f t="shared" si="16"/>
        <v>Venta</v>
      </c>
      <c r="K546" s="196" t="str">
        <f t="shared" si="17"/>
        <v>SI</v>
      </c>
    </row>
    <row r="547" spans="10:11" x14ac:dyDescent="0.25">
      <c r="J547" s="196" t="str">
        <f t="shared" si="16"/>
        <v>Venta</v>
      </c>
      <c r="K547" s="196" t="str">
        <f t="shared" si="17"/>
        <v>SI</v>
      </c>
    </row>
    <row r="548" spans="10:11" x14ac:dyDescent="0.25">
      <c r="J548" s="196" t="str">
        <f t="shared" si="16"/>
        <v>Venta</v>
      </c>
      <c r="K548" s="196" t="str">
        <f t="shared" si="17"/>
        <v>SI</v>
      </c>
    </row>
    <row r="549" spans="10:11" x14ac:dyDescent="0.25">
      <c r="J549" s="196" t="str">
        <f t="shared" si="16"/>
        <v>Venta</v>
      </c>
      <c r="K549" s="196" t="str">
        <f t="shared" si="17"/>
        <v>SI</v>
      </c>
    </row>
    <row r="550" spans="10:11" x14ac:dyDescent="0.25">
      <c r="J550" s="196" t="str">
        <f t="shared" si="16"/>
        <v>Venta</v>
      </c>
      <c r="K550" s="196" t="str">
        <f t="shared" si="17"/>
        <v>SI</v>
      </c>
    </row>
    <row r="551" spans="10:11" x14ac:dyDescent="0.25">
      <c r="J551" s="196" t="str">
        <f t="shared" si="16"/>
        <v>Venta</v>
      </c>
      <c r="K551" s="196" t="str">
        <f t="shared" si="17"/>
        <v>SI</v>
      </c>
    </row>
    <row r="552" spans="10:11" x14ac:dyDescent="0.25">
      <c r="J552" s="196" t="str">
        <f t="shared" si="16"/>
        <v>Venta</v>
      </c>
      <c r="K552" s="196" t="str">
        <f t="shared" si="17"/>
        <v>SI</v>
      </c>
    </row>
    <row r="553" spans="10:11" x14ac:dyDescent="0.25">
      <c r="J553" s="196" t="str">
        <f t="shared" si="16"/>
        <v>Venta</v>
      </c>
      <c r="K553" s="196" t="str">
        <f t="shared" si="17"/>
        <v>SI</v>
      </c>
    </row>
    <row r="554" spans="10:11" x14ac:dyDescent="0.25">
      <c r="J554" s="196" t="str">
        <f t="shared" si="16"/>
        <v>Venta</v>
      </c>
      <c r="K554" s="196" t="str">
        <f t="shared" si="17"/>
        <v>SI</v>
      </c>
    </row>
    <row r="555" spans="10:11" x14ac:dyDescent="0.25">
      <c r="J555" s="196" t="str">
        <f t="shared" si="16"/>
        <v>Venta</v>
      </c>
      <c r="K555" s="196" t="str">
        <f t="shared" si="17"/>
        <v>SI</v>
      </c>
    </row>
    <row r="556" spans="10:11" x14ac:dyDescent="0.25">
      <c r="J556" s="196" t="str">
        <f t="shared" si="16"/>
        <v>Venta</v>
      </c>
      <c r="K556" s="196" t="str">
        <f t="shared" si="17"/>
        <v>SI</v>
      </c>
    </row>
    <row r="557" spans="10:11" x14ac:dyDescent="0.25">
      <c r="J557" s="196" t="str">
        <f t="shared" si="16"/>
        <v>Venta</v>
      </c>
      <c r="K557" s="196" t="str">
        <f t="shared" si="17"/>
        <v>SI</v>
      </c>
    </row>
    <row r="558" spans="10:11" x14ac:dyDescent="0.25">
      <c r="J558" s="196" t="str">
        <f t="shared" si="16"/>
        <v>Venta</v>
      </c>
      <c r="K558" s="196" t="str">
        <f t="shared" si="17"/>
        <v>SI</v>
      </c>
    </row>
    <row r="559" spans="10:11" x14ac:dyDescent="0.25">
      <c r="J559" s="196" t="str">
        <f t="shared" si="16"/>
        <v>Venta</v>
      </c>
      <c r="K559" s="196" t="str">
        <f t="shared" si="17"/>
        <v>SI</v>
      </c>
    </row>
    <row r="560" spans="10:11" x14ac:dyDescent="0.25">
      <c r="J560" s="196" t="str">
        <f t="shared" si="16"/>
        <v>Venta</v>
      </c>
      <c r="K560" s="196" t="str">
        <f t="shared" si="17"/>
        <v>SI</v>
      </c>
    </row>
    <row r="561" spans="10:11" x14ac:dyDescent="0.25">
      <c r="J561" s="196" t="str">
        <f t="shared" si="16"/>
        <v>Venta</v>
      </c>
      <c r="K561" s="196" t="str">
        <f t="shared" si="17"/>
        <v>SI</v>
      </c>
    </row>
    <row r="562" spans="10:11" x14ac:dyDescent="0.25">
      <c r="J562" s="196" t="str">
        <f t="shared" si="16"/>
        <v>Venta</v>
      </c>
      <c r="K562" s="196" t="str">
        <f t="shared" si="17"/>
        <v>SI</v>
      </c>
    </row>
    <row r="563" spans="10:11" x14ac:dyDescent="0.25">
      <c r="J563" s="196" t="str">
        <f t="shared" si="16"/>
        <v>Venta</v>
      </c>
      <c r="K563" s="196" t="str">
        <f t="shared" si="17"/>
        <v>SI</v>
      </c>
    </row>
    <row r="564" spans="10:11" x14ac:dyDescent="0.25">
      <c r="J564" s="196" t="str">
        <f t="shared" si="16"/>
        <v>Venta</v>
      </c>
      <c r="K564" s="196" t="str">
        <f t="shared" si="17"/>
        <v>SI</v>
      </c>
    </row>
    <row r="565" spans="10:11" x14ac:dyDescent="0.25">
      <c r="J565" s="196" t="str">
        <f t="shared" si="16"/>
        <v>Venta</v>
      </c>
      <c r="K565" s="196" t="str">
        <f t="shared" si="17"/>
        <v>SI</v>
      </c>
    </row>
    <row r="566" spans="10:11" x14ac:dyDescent="0.25">
      <c r="J566" s="196" t="str">
        <f t="shared" si="16"/>
        <v>Venta</v>
      </c>
      <c r="K566" s="196" t="str">
        <f t="shared" si="17"/>
        <v>SI</v>
      </c>
    </row>
    <row r="567" spans="10:11" x14ac:dyDescent="0.25">
      <c r="J567" s="196" t="str">
        <f t="shared" si="16"/>
        <v>Venta</v>
      </c>
      <c r="K567" s="196" t="str">
        <f t="shared" si="17"/>
        <v>SI</v>
      </c>
    </row>
    <row r="568" spans="10:11" x14ac:dyDescent="0.25">
      <c r="J568" s="196" t="str">
        <f t="shared" si="16"/>
        <v>Venta</v>
      </c>
      <c r="K568" s="196" t="str">
        <f t="shared" si="17"/>
        <v>SI</v>
      </c>
    </row>
    <row r="569" spans="10:11" x14ac:dyDescent="0.25">
      <c r="J569" s="196" t="str">
        <f t="shared" si="16"/>
        <v>Venta</v>
      </c>
      <c r="K569" s="196" t="str">
        <f t="shared" si="17"/>
        <v>SI</v>
      </c>
    </row>
    <row r="570" spans="10:11" x14ac:dyDescent="0.25">
      <c r="J570" s="196" t="str">
        <f t="shared" si="16"/>
        <v>Venta</v>
      </c>
      <c r="K570" s="196" t="str">
        <f t="shared" si="17"/>
        <v>SI</v>
      </c>
    </row>
    <row r="571" spans="10:11" x14ac:dyDescent="0.25">
      <c r="J571" s="196" t="str">
        <f t="shared" si="16"/>
        <v>Venta</v>
      </c>
      <c r="K571" s="196" t="str">
        <f t="shared" si="17"/>
        <v>SI</v>
      </c>
    </row>
    <row r="572" spans="10:11" x14ac:dyDescent="0.25">
      <c r="J572" s="196" t="str">
        <f t="shared" si="16"/>
        <v>Venta</v>
      </c>
      <c r="K572" s="196" t="str">
        <f t="shared" si="17"/>
        <v>SI</v>
      </c>
    </row>
    <row r="573" spans="10:11" x14ac:dyDescent="0.25">
      <c r="J573" s="196" t="str">
        <f t="shared" si="16"/>
        <v>Venta</v>
      </c>
      <c r="K573" s="196" t="str">
        <f t="shared" si="17"/>
        <v>SI</v>
      </c>
    </row>
    <row r="574" spans="10:11" x14ac:dyDescent="0.25">
      <c r="J574" s="196" t="str">
        <f t="shared" si="16"/>
        <v>Venta</v>
      </c>
      <c r="K574" s="196" t="str">
        <f t="shared" si="17"/>
        <v>SI</v>
      </c>
    </row>
    <row r="575" spans="10:11" x14ac:dyDescent="0.25">
      <c r="J575" s="196" t="str">
        <f t="shared" si="16"/>
        <v>Venta</v>
      </c>
      <c r="K575" s="196" t="str">
        <f t="shared" si="17"/>
        <v>SI</v>
      </c>
    </row>
    <row r="576" spans="10:11" x14ac:dyDescent="0.25">
      <c r="J576" s="196" t="str">
        <f t="shared" si="16"/>
        <v>Venta</v>
      </c>
      <c r="K576" s="196" t="str">
        <f t="shared" si="17"/>
        <v>SI</v>
      </c>
    </row>
    <row r="577" spans="10:11" x14ac:dyDescent="0.25">
      <c r="J577" s="196" t="str">
        <f t="shared" si="16"/>
        <v>Venta</v>
      </c>
      <c r="K577" s="196" t="str">
        <f t="shared" si="17"/>
        <v>SI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6" tint="0.59999389629810485"/>
  </sheetPr>
  <dimension ref="A1:C36"/>
  <sheetViews>
    <sheetView workbookViewId="0">
      <selection activeCell="G22" sqref="G22"/>
    </sheetView>
  </sheetViews>
  <sheetFormatPr baseColWidth="10" defaultRowHeight="15" x14ac:dyDescent="0.25"/>
  <cols>
    <col min="1" max="1" width="34.28515625" bestFit="1" customWidth="1"/>
    <col min="2" max="2" width="6.85546875" bestFit="1" customWidth="1"/>
    <col min="3" max="3" width="18.140625" bestFit="1" customWidth="1"/>
  </cols>
  <sheetData>
    <row r="1" spans="1:3" x14ac:dyDescent="0.25">
      <c r="A1" s="141" t="s">
        <v>207</v>
      </c>
      <c r="B1" s="141" t="s">
        <v>208</v>
      </c>
      <c r="C1" s="141" t="s">
        <v>209</v>
      </c>
    </row>
    <row r="2" spans="1:3" x14ac:dyDescent="0.25">
      <c r="A2" s="137" t="s">
        <v>356</v>
      </c>
      <c r="B2" s="137" t="s">
        <v>28</v>
      </c>
      <c r="C2" s="138">
        <v>0</v>
      </c>
    </row>
    <row r="3" spans="1:3" x14ac:dyDescent="0.25">
      <c r="A3" s="139" t="s">
        <v>398</v>
      </c>
      <c r="B3" s="139" t="s">
        <v>28</v>
      </c>
      <c r="C3" s="140"/>
    </row>
    <row r="4" spans="1:3" x14ac:dyDescent="0.25">
      <c r="A4" s="137" t="s">
        <v>376</v>
      </c>
      <c r="B4" s="137" t="s">
        <v>28</v>
      </c>
      <c r="C4" s="138">
        <v>7.0000000000000007E-2</v>
      </c>
    </row>
    <row r="5" spans="1:3" x14ac:dyDescent="0.25">
      <c r="A5" s="139" t="s">
        <v>357</v>
      </c>
      <c r="B5" s="139" t="s">
        <v>28</v>
      </c>
      <c r="C5" s="140">
        <v>0</v>
      </c>
    </row>
    <row r="6" spans="1:3" x14ac:dyDescent="0.25">
      <c r="A6" s="137" t="s">
        <v>377</v>
      </c>
      <c r="B6" s="137" t="s">
        <v>28</v>
      </c>
      <c r="C6" s="138"/>
    </row>
    <row r="7" spans="1:3" x14ac:dyDescent="0.25">
      <c r="A7" s="139" t="s">
        <v>378</v>
      </c>
      <c r="B7" s="139" t="s">
        <v>28</v>
      </c>
      <c r="C7" s="140">
        <v>0.2</v>
      </c>
    </row>
    <row r="8" spans="1:3" x14ac:dyDescent="0.25">
      <c r="A8" s="137" t="s">
        <v>358</v>
      </c>
      <c r="B8" s="137" t="s">
        <v>28</v>
      </c>
      <c r="C8" s="138">
        <v>0.03</v>
      </c>
    </row>
    <row r="9" spans="1:3" x14ac:dyDescent="0.25">
      <c r="A9" s="139" t="s">
        <v>359</v>
      </c>
      <c r="B9" s="139" t="s">
        <v>28</v>
      </c>
      <c r="C9" s="140">
        <v>0.08</v>
      </c>
    </row>
    <row r="10" spans="1:3" x14ac:dyDescent="0.25">
      <c r="A10" s="137" t="s">
        <v>347</v>
      </c>
      <c r="B10" s="137" t="s">
        <v>28</v>
      </c>
      <c r="C10" s="138">
        <v>2503.46</v>
      </c>
    </row>
    <row r="11" spans="1:3" x14ac:dyDescent="0.25">
      <c r="A11" s="139" t="s">
        <v>360</v>
      </c>
      <c r="B11" s="139" t="s">
        <v>28</v>
      </c>
      <c r="C11" s="140">
        <v>0.03</v>
      </c>
    </row>
    <row r="12" spans="1:3" x14ac:dyDescent="0.25">
      <c r="A12" s="137" t="s">
        <v>379</v>
      </c>
      <c r="B12" s="137" t="s">
        <v>28</v>
      </c>
      <c r="C12" s="138">
        <v>0.34</v>
      </c>
    </row>
    <row r="13" spans="1:3" x14ac:dyDescent="0.25">
      <c r="A13" s="139" t="s">
        <v>361</v>
      </c>
      <c r="B13" s="139" t="s">
        <v>28</v>
      </c>
      <c r="C13" s="140">
        <v>0.01</v>
      </c>
    </row>
    <row r="14" spans="1:3" x14ac:dyDescent="0.25">
      <c r="A14" s="137" t="s">
        <v>354</v>
      </c>
      <c r="B14" s="137" t="s">
        <v>28</v>
      </c>
      <c r="C14" s="138">
        <v>708.33</v>
      </c>
    </row>
    <row r="15" spans="1:3" x14ac:dyDescent="0.25">
      <c r="A15" s="139" t="s">
        <v>362</v>
      </c>
      <c r="B15" s="139" t="s">
        <v>28</v>
      </c>
      <c r="C15" s="140"/>
    </row>
    <row r="16" spans="1:3" x14ac:dyDescent="0.25">
      <c r="A16" s="137" t="s">
        <v>363</v>
      </c>
      <c r="B16" s="137" t="s">
        <v>28</v>
      </c>
      <c r="C16" s="138">
        <v>0.41</v>
      </c>
    </row>
    <row r="17" spans="1:3" x14ac:dyDescent="0.25">
      <c r="A17" s="139" t="s">
        <v>364</v>
      </c>
      <c r="B17" s="139" t="s">
        <v>28</v>
      </c>
      <c r="C17" s="140">
        <v>0</v>
      </c>
    </row>
    <row r="18" spans="1:3" x14ac:dyDescent="0.25">
      <c r="A18" s="137" t="s">
        <v>380</v>
      </c>
      <c r="B18" s="137" t="s">
        <v>28</v>
      </c>
      <c r="C18" s="138">
        <v>0.25</v>
      </c>
    </row>
    <row r="19" spans="1:3" x14ac:dyDescent="0.25">
      <c r="A19" s="139" t="s">
        <v>365</v>
      </c>
      <c r="B19" s="139" t="s">
        <v>28</v>
      </c>
      <c r="C19" s="140">
        <v>0</v>
      </c>
    </row>
    <row r="20" spans="1:3" x14ac:dyDescent="0.25">
      <c r="A20" s="137" t="s">
        <v>366</v>
      </c>
      <c r="B20" s="137" t="s">
        <v>28</v>
      </c>
      <c r="C20" s="138">
        <v>0.1</v>
      </c>
    </row>
    <row r="21" spans="1:3" x14ac:dyDescent="0.25">
      <c r="A21" s="139" t="s">
        <v>381</v>
      </c>
      <c r="B21" s="139" t="s">
        <v>28</v>
      </c>
      <c r="C21" s="140">
        <v>0.01</v>
      </c>
    </row>
    <row r="22" spans="1:3" x14ac:dyDescent="0.25">
      <c r="A22" s="137" t="s">
        <v>382</v>
      </c>
      <c r="B22" s="137" t="s">
        <v>28</v>
      </c>
      <c r="C22" s="138">
        <v>-0.01</v>
      </c>
    </row>
    <row r="23" spans="1:3" x14ac:dyDescent="0.25">
      <c r="A23" s="139" t="s">
        <v>367</v>
      </c>
      <c r="B23" s="139" t="s">
        <v>28</v>
      </c>
      <c r="C23" s="140">
        <v>2.15</v>
      </c>
    </row>
    <row r="24" spans="1:3" x14ac:dyDescent="0.25">
      <c r="A24" s="137" t="s">
        <v>355</v>
      </c>
      <c r="B24" s="137" t="s">
        <v>28</v>
      </c>
      <c r="C24" s="138">
        <v>643.36</v>
      </c>
    </row>
    <row r="25" spans="1:3" x14ac:dyDescent="0.25">
      <c r="A25" s="139" t="s">
        <v>351</v>
      </c>
      <c r="B25" s="139" t="s">
        <v>28</v>
      </c>
      <c r="C25" s="140">
        <v>21.81</v>
      </c>
    </row>
    <row r="26" spans="1:3" x14ac:dyDescent="0.25">
      <c r="A26" s="137" t="s">
        <v>368</v>
      </c>
      <c r="B26" s="137" t="s">
        <v>28</v>
      </c>
      <c r="C26" s="138">
        <v>7.0000000000000007E-2</v>
      </c>
    </row>
    <row r="27" spans="1:3" x14ac:dyDescent="0.25">
      <c r="A27" s="139" t="s">
        <v>369</v>
      </c>
      <c r="B27" s="139" t="s">
        <v>28</v>
      </c>
      <c r="C27" s="140">
        <v>4.75</v>
      </c>
    </row>
    <row r="28" spans="1:3" x14ac:dyDescent="0.25">
      <c r="A28" s="137" t="s">
        <v>370</v>
      </c>
      <c r="B28" s="137" t="s">
        <v>28</v>
      </c>
      <c r="C28" s="138"/>
    </row>
    <row r="29" spans="1:3" x14ac:dyDescent="0.25">
      <c r="A29" s="139" t="s">
        <v>371</v>
      </c>
      <c r="B29" s="139" t="s">
        <v>28</v>
      </c>
      <c r="C29" s="140">
        <v>0.04</v>
      </c>
    </row>
    <row r="30" spans="1:3" x14ac:dyDescent="0.25">
      <c r="A30" s="137" t="s">
        <v>372</v>
      </c>
      <c r="B30" s="137" t="s">
        <v>28</v>
      </c>
      <c r="C30" s="138">
        <v>0</v>
      </c>
    </row>
    <row r="31" spans="1:3" x14ac:dyDescent="0.25">
      <c r="A31" s="139" t="s">
        <v>352</v>
      </c>
      <c r="B31" s="139" t="s">
        <v>28</v>
      </c>
      <c r="C31" s="140">
        <v>2.96</v>
      </c>
    </row>
    <row r="32" spans="1:3" x14ac:dyDescent="0.25">
      <c r="A32" s="137" t="s">
        <v>373</v>
      </c>
      <c r="B32" s="137" t="s">
        <v>28</v>
      </c>
      <c r="C32" s="138">
        <v>0</v>
      </c>
    </row>
    <row r="33" spans="1:3" x14ac:dyDescent="0.25">
      <c r="A33" s="139" t="s">
        <v>353</v>
      </c>
      <c r="B33" s="139" t="s">
        <v>28</v>
      </c>
      <c r="C33" s="140">
        <v>0.94</v>
      </c>
    </row>
    <row r="34" spans="1:3" x14ac:dyDescent="0.25">
      <c r="A34" s="137" t="s">
        <v>374</v>
      </c>
      <c r="B34" s="137" t="s">
        <v>28</v>
      </c>
      <c r="C34" s="138">
        <v>0</v>
      </c>
    </row>
    <row r="35" spans="1:3" x14ac:dyDescent="0.25">
      <c r="A35" s="139" t="s">
        <v>375</v>
      </c>
      <c r="B35" s="139" t="s">
        <v>28</v>
      </c>
      <c r="C35" s="140">
        <v>0.14000000000000001</v>
      </c>
    </row>
    <row r="36" spans="1:3" x14ac:dyDescent="0.25">
      <c r="A36" s="137" t="s">
        <v>399</v>
      </c>
      <c r="B36" s="137" t="s">
        <v>28</v>
      </c>
      <c r="C36" s="138">
        <v>3889.56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9" tint="0.39997558519241921"/>
  </sheetPr>
  <dimension ref="A1:AI110"/>
  <sheetViews>
    <sheetView showGridLines="0" tabSelected="1" topLeftCell="L1" workbookViewId="0">
      <selection activeCell="S22" sqref="S22"/>
    </sheetView>
  </sheetViews>
  <sheetFormatPr baseColWidth="10" defaultRowHeight="15" x14ac:dyDescent="0.25"/>
  <cols>
    <col min="2" max="2" width="41.140625" bestFit="1" customWidth="1"/>
    <col min="4" max="4" width="2.140625" customWidth="1"/>
    <col min="5" max="5" width="66.28515625" bestFit="1" customWidth="1"/>
    <col min="7" max="7" width="3.140625" customWidth="1"/>
    <col min="8" max="8" width="33.42578125" bestFit="1" customWidth="1"/>
    <col min="9" max="9" width="6" customWidth="1"/>
    <col min="11" max="11" width="29.140625" bestFit="1" customWidth="1"/>
    <col min="13" max="13" width="13" bestFit="1" customWidth="1"/>
    <col min="15" max="15" width="29.140625" bestFit="1" customWidth="1"/>
    <col min="16" max="16" width="11.85546875" bestFit="1" customWidth="1"/>
    <col min="17" max="17" width="8.85546875" bestFit="1" customWidth="1"/>
    <col min="18" max="18" width="8" customWidth="1"/>
    <col min="19" max="19" width="16.7109375" bestFit="1" customWidth="1"/>
    <col min="23" max="23" width="3.140625" customWidth="1"/>
    <col min="24" max="24" width="19.85546875" bestFit="1" customWidth="1"/>
    <col min="26" max="26" width="3.7109375" customWidth="1"/>
    <col min="27" max="27" width="34.28515625" bestFit="1" customWidth="1"/>
    <col min="29" max="29" width="7.140625" bestFit="1" customWidth="1"/>
    <col min="31" max="31" width="30.42578125" bestFit="1" customWidth="1"/>
    <col min="34" max="34" width="12.7109375" bestFit="1" customWidth="1"/>
  </cols>
  <sheetData>
    <row r="1" spans="1:35" ht="15.75" thickBot="1" x14ac:dyDescent="0.3">
      <c r="B1" s="208" t="s">
        <v>322</v>
      </c>
      <c r="C1" s="214"/>
      <c r="D1" s="214"/>
      <c r="E1" s="214"/>
      <c r="F1" s="209"/>
      <c r="H1" s="208" t="s">
        <v>325</v>
      </c>
      <c r="I1" s="209"/>
      <c r="X1" s="145" t="s">
        <v>404</v>
      </c>
      <c r="AA1" s="145" t="s">
        <v>401</v>
      </c>
      <c r="AE1" s="145" t="s">
        <v>388</v>
      </c>
    </row>
    <row r="2" spans="1:35" ht="15.75" thickBot="1" x14ac:dyDescent="0.3">
      <c r="B2" s="151" t="s">
        <v>323</v>
      </c>
      <c r="C2" s="152" t="s">
        <v>109</v>
      </c>
      <c r="E2" s="151" t="s">
        <v>324</v>
      </c>
      <c r="F2" s="152" t="s">
        <v>109</v>
      </c>
      <c r="H2" s="151" t="s">
        <v>323</v>
      </c>
      <c r="I2" s="151" t="s">
        <v>326</v>
      </c>
      <c r="K2" s="145" t="s">
        <v>333</v>
      </c>
      <c r="P2" s="215">
        <v>42614</v>
      </c>
      <c r="Q2" s="216"/>
      <c r="R2" s="208" t="s">
        <v>116</v>
      </c>
      <c r="S2" s="209"/>
      <c r="T2" s="208" t="s">
        <v>336</v>
      </c>
      <c r="U2" s="209"/>
      <c r="AB2" s="64" t="s">
        <v>403</v>
      </c>
      <c r="AC2" s="64" t="s">
        <v>109</v>
      </c>
      <c r="AF2" s="197" t="s">
        <v>384</v>
      </c>
      <c r="AG2" s="197" t="s">
        <v>385</v>
      </c>
      <c r="AH2" s="197" t="s">
        <v>386</v>
      </c>
    </row>
    <row r="3" spans="1:35" ht="15.75" thickBot="1" x14ac:dyDescent="0.3">
      <c r="A3">
        <v>1</v>
      </c>
      <c r="B3" s="150" t="s">
        <v>1</v>
      </c>
      <c r="C3" s="145">
        <f>+SUMIFS('Cuadro 2 (columna AD-AC)'!$K:$K,'Cuadro 2 (columna AD-AC)'!$C:$C,Resumen!$A3,'Cuadro 2 (columna AD-AC)'!$G:$G,"HABITAT",'Cuadro 2 (columna AD-AC)'!$D:$D,Resumen!$B3)</f>
        <v>89.61</v>
      </c>
      <c r="E3" s="146" t="s">
        <v>63</v>
      </c>
      <c r="F3" s="145">
        <f>+SUMIFS('Cuadro 3'!$D:$D,'Cuadro 3'!$A:$A,Resumen!$E3)</f>
        <v>1.1100000000000001</v>
      </c>
      <c r="H3" s="147" t="s">
        <v>63</v>
      </c>
      <c r="I3" s="145">
        <f>+SUMIFS('Cuadro 7'!$G:$G,'Cuadro 7'!$A:$A,Resumen!$H3)</f>
        <v>1589</v>
      </c>
      <c r="K3" s="147" t="s">
        <v>172</v>
      </c>
      <c r="L3" s="153" t="s">
        <v>56</v>
      </c>
      <c r="M3" s="58">
        <f>+SUMIFS('Cuadro 4'!$D:$D,'Cuadro 4'!$A:$A,"Renta Fija Nacional:BCA",'Cuadro 4'!$O:$O,Resumen!$L3)</f>
        <v>0</v>
      </c>
      <c r="O3" s="157" t="s">
        <v>335</v>
      </c>
      <c r="P3" s="163" t="s">
        <v>109</v>
      </c>
      <c r="Q3" s="158" t="s">
        <v>321</v>
      </c>
      <c r="R3" s="163" t="s">
        <v>109</v>
      </c>
      <c r="S3" s="158" t="s">
        <v>321</v>
      </c>
      <c r="T3" s="173" t="s">
        <v>109</v>
      </c>
      <c r="U3" s="174" t="s">
        <v>321</v>
      </c>
      <c r="W3" s="139" t="s">
        <v>351</v>
      </c>
      <c r="X3" s="153" t="s">
        <v>56</v>
      </c>
      <c r="Y3">
        <f>+SUMIF($L$3:$L$30,$X3,$M$3:$M$30)+C4+C17+C16+C15+C18</f>
        <v>30.290000000000003</v>
      </c>
      <c r="AA3" s="139" t="s">
        <v>351</v>
      </c>
      <c r="AB3">
        <f>+VLOOKUP($AA3,'Cuadro 22 (D)'!$A:$C,3,FALSE)</f>
        <v>21.81</v>
      </c>
      <c r="AC3" s="60">
        <f t="shared" ref="AC3:AC37" si="0">+AB3/$P$18</f>
        <v>5.8264985735630842E-4</v>
      </c>
      <c r="AE3" s="139" t="s">
        <v>351</v>
      </c>
      <c r="AF3" s="203">
        <f>+SUMIFS('Cuadro 27 (CP)'!$F:$F,'Cuadro 27 (CP)'!$A:$A,Resumen!$AE3,'Cuadro 27 (CP)'!$J:$J,Resumen!AF$2,'Cuadro 27 (CP)'!$K:$K,"SI")+SUMIFS('Cuadro 27 (CP)'!$F:$F,'Cuadro 27 (CP)'!$D:$D,Resumen!$AE3,'Cuadro 27 (CP)'!$J:$J,Resumen!AG$2,'Cuadro 27 (CP)'!$K:$K,"SI")</f>
        <v>5717.29</v>
      </c>
      <c r="AG3" s="203">
        <f>+SUMIFS('Cuadro 27 (CP)'!$F:$F,'Cuadro 27 (CP)'!$A:$A,Resumen!$AE3,'Cuadro 27 (CP)'!$J:$J,Resumen!AG$2,'Cuadro 27 (CP)'!$K:$K,"SI")+SUMIFS('Cuadro 27 (CP)'!$F:$F,'Cuadro 27 (CP)'!$D:$D,Resumen!$AE3,'Cuadro 27 (CP)'!$J:$J,Resumen!AF$2,'Cuadro 27 (CP)'!$K:$K,"SI")</f>
        <v>6077.08</v>
      </c>
      <c r="AH3" s="203">
        <f>+AF3-AG3</f>
        <v>-359.78999999999996</v>
      </c>
      <c r="AI3" s="202">
        <f t="shared" ref="AI3:AI36" si="1">+AH3/$P$18</f>
        <v>-9.6117190361405865E-3</v>
      </c>
    </row>
    <row r="4" spans="1:35" ht="15.75" thickBot="1" x14ac:dyDescent="0.3">
      <c r="A4">
        <v>2</v>
      </c>
      <c r="B4" s="143" t="s">
        <v>270</v>
      </c>
      <c r="C4" s="145">
        <f>+SUMIFS('Cuadro 2 (columna AD-AC)'!$K:$K,'Cuadro 2 (columna AD-AC)'!$C:$C,Resumen!$A4,'Cuadro 2 (columna AD-AC)'!$G:$G,"HABITAT",'Cuadro 2 (columna AD-AC)'!$D:$D,Resumen!$B4)</f>
        <v>1.08</v>
      </c>
      <c r="E4" s="146" t="s">
        <v>67</v>
      </c>
      <c r="F4" s="145">
        <f>+SUMIFS('Cuadro 3'!$D:$D,'Cuadro 3'!$A:$A,Resumen!$E4)</f>
        <v>6.74</v>
      </c>
      <c r="H4" s="147" t="s">
        <v>67</v>
      </c>
      <c r="I4" s="145">
        <f>+SUMIFS('Cuadro 7'!$G:$G,'Cuadro 7'!$A:$A,Resumen!$H4)</f>
        <v>2564</v>
      </c>
      <c r="K4" s="147" t="s">
        <v>63</v>
      </c>
      <c r="L4" s="153" t="s">
        <v>56</v>
      </c>
      <c r="M4" s="58">
        <f>+SUMIFS('Cuadro 4'!$D:$D,'Cuadro 4'!$A:$A,Resumen!$K4,'Cuadro 4'!$O:$O,Resumen!$L4)</f>
        <v>1.1100000000000001</v>
      </c>
      <c r="N4">
        <f>+(M4/100*I3+M17/100*I10)/((M17+M4)/100)</f>
        <v>3393.7109207708781</v>
      </c>
      <c r="O4" s="159" t="s">
        <v>21</v>
      </c>
      <c r="P4" s="171">
        <f>+SUM(C8:C10)</f>
        <v>43.25</v>
      </c>
      <c r="Q4" s="172">
        <f>+I16/365</f>
        <v>9.4246575342465757</v>
      </c>
      <c r="R4" s="187">
        <v>43.61</v>
      </c>
      <c r="S4" s="190">
        <v>9.39</v>
      </c>
      <c r="T4" s="175">
        <f>+R4-P4</f>
        <v>0.35999999999999943</v>
      </c>
      <c r="U4" s="172">
        <f>+S4-Q4</f>
        <v>-3.4657534246575139E-2</v>
      </c>
      <c r="W4" s="137" t="s">
        <v>352</v>
      </c>
      <c r="X4" s="153" t="s">
        <v>58</v>
      </c>
      <c r="Y4">
        <f>+SUMIF($L$3:$L$30,$X4,$M$3:$M$30)</f>
        <v>57.35</v>
      </c>
      <c r="AA4" s="137" t="s">
        <v>352</v>
      </c>
      <c r="AB4">
        <f>+VLOOKUP($AA4,'Cuadro 22 (D)'!$A:$C,3,FALSE)</f>
        <v>2.96</v>
      </c>
      <c r="AC4" s="60">
        <f t="shared" si="0"/>
        <v>7.9075817412868998E-5</v>
      </c>
      <c r="AE4" s="137" t="s">
        <v>352</v>
      </c>
      <c r="AF4" s="203">
        <f>+SUMIFS('Cuadro 27 (CP)'!$F:$F,'Cuadro 27 (CP)'!$A:$A,Resumen!$AE4,'Cuadro 27 (CP)'!$J:$J,Resumen!AF$2,'Cuadro 27 (CP)'!$K:$K,"SI")+SUMIFS('Cuadro 27 (CP)'!$F:$F,'Cuadro 27 (CP)'!$D:$D,Resumen!$AE4,'Cuadro 27 (CP)'!$J:$J,Resumen!AG$2,'Cuadro 27 (CP)'!$K:$K,"SI")</f>
        <v>3183.14</v>
      </c>
      <c r="AG4" s="203">
        <f>+SUMIFS('Cuadro 27 (CP)'!$F:$F,'Cuadro 27 (CP)'!$A:$A,Resumen!$AE4,'Cuadro 27 (CP)'!$J:$J,Resumen!AG$2,'Cuadro 27 (CP)'!$K:$K,"SI")+SUMIFS('Cuadro 27 (CP)'!$F:$F,'Cuadro 27 (CP)'!$D:$D,Resumen!$AE4,'Cuadro 27 (CP)'!$J:$J,Resumen!AF$2,'Cuadro 27 (CP)'!$K:$K,"SI")</f>
        <v>791.41</v>
      </c>
      <c r="AH4" s="203">
        <f t="shared" ref="AH4:AH35" si="2">+AF4-AG4</f>
        <v>2391.73</v>
      </c>
      <c r="AI4" s="202">
        <f t="shared" si="1"/>
        <v>6.3894596209757154E-2</v>
      </c>
    </row>
    <row r="5" spans="1:35" x14ac:dyDescent="0.25">
      <c r="A5">
        <v>3</v>
      </c>
      <c r="B5" s="144" t="s">
        <v>25</v>
      </c>
      <c r="C5" s="145">
        <f>+SUMIFS('Cuadro 2 (columna AD-AC)'!$K:$K,'Cuadro 2 (columna AD-AC)'!$C:$C,Resumen!$A5,'Cuadro 2 (columna AD-AC)'!$G:$G,"HABITAT",'Cuadro 2 (columna AD-AC)'!$D:$D,Resumen!$B5)</f>
        <v>1.08</v>
      </c>
      <c r="E5" s="146" t="s">
        <v>83</v>
      </c>
      <c r="F5" s="145">
        <f>+SUMIFS('Cuadro 3'!$D:$D,'Cuadro 3'!$A:$A,Resumen!$E5)</f>
        <v>0.01</v>
      </c>
      <c r="H5" s="147" t="s">
        <v>83</v>
      </c>
      <c r="I5" s="145">
        <f>+SUMIFS('Cuadro 7'!$G:$G,'Cuadro 7'!$A:$A,Resumen!$H5)</f>
        <v>571</v>
      </c>
      <c r="K5" s="147" t="s">
        <v>65</v>
      </c>
      <c r="L5" s="153" t="s">
        <v>56</v>
      </c>
      <c r="M5" s="58">
        <f>+SUMIFS('Cuadro 4'!$D:$D,'Cuadro 4'!$A:$A,Resumen!$K5,'Cuadro 4'!$O:$O,Resumen!$L5)</f>
        <v>0.03</v>
      </c>
      <c r="O5" s="157" t="s">
        <v>277</v>
      </c>
      <c r="P5" s="165">
        <f>+C12</f>
        <v>18.260000000000002</v>
      </c>
      <c r="Q5" s="166">
        <f>+SUMPRODUCT(F18:F20,I21:I23)/SUM(F18:F20)/365</f>
        <v>6.8683401101291848</v>
      </c>
      <c r="R5" s="217">
        <v>37.909999999999997</v>
      </c>
      <c r="S5" s="212">
        <v>6.6</v>
      </c>
      <c r="T5" s="210">
        <f>R5-(P5+P6)</f>
        <v>12.479999999999997</v>
      </c>
      <c r="U5" s="212">
        <f>S5-SUMPRODUCT(P5:P6,Q5:Q6)/SUM(P5:P6)</f>
        <v>-0.9042271657121761</v>
      </c>
      <c r="W5" s="137" t="s">
        <v>347</v>
      </c>
      <c r="X5" s="153" t="s">
        <v>57</v>
      </c>
      <c r="Y5">
        <f>+SUMIF($L$3:$L$30,$X5,$M$3:$M$30)</f>
        <v>1.7899999999999998</v>
      </c>
      <c r="AA5" s="137" t="s">
        <v>347</v>
      </c>
      <c r="AB5">
        <f>+VLOOKUP($AA5,'Cuadro 22 (D)'!$A:$C,3,FALSE)</f>
        <v>2503.46</v>
      </c>
      <c r="AC5" s="60">
        <f t="shared" si="0"/>
        <v>6.6879441169061166E-2</v>
      </c>
      <c r="AE5" s="137" t="s">
        <v>347</v>
      </c>
      <c r="AF5" s="203">
        <f>+SUMIFS('Cuadro 27 (CP)'!$F:$F,'Cuadro 27 (CP)'!$A:$A,Resumen!$AE5,'Cuadro 27 (CP)'!$J:$J,Resumen!AF$2,'Cuadro 27 (CP)'!$K:$K,"SI")+SUMIFS('Cuadro 27 (CP)'!$F:$F,'Cuadro 27 (CP)'!$D:$D,Resumen!$AE5,'Cuadro 27 (CP)'!$J:$J,Resumen!AG$2,'Cuadro 27 (CP)'!$K:$K,"SI")</f>
        <v>4488.51</v>
      </c>
      <c r="AG5" s="203">
        <f>+SUMIFS('Cuadro 27 (CP)'!$F:$F,'Cuadro 27 (CP)'!$A:$A,Resumen!$AE5,'Cuadro 27 (CP)'!$J:$J,Resumen!AG$2,'Cuadro 27 (CP)'!$K:$K,"SI")+SUMIFS('Cuadro 27 (CP)'!$F:$F,'Cuadro 27 (CP)'!$D:$D,Resumen!$AE5,'Cuadro 27 (CP)'!$J:$J,Resumen!AF$2,'Cuadro 27 (CP)'!$K:$K,"SI")</f>
        <v>5607.1200000000017</v>
      </c>
      <c r="AH5" s="203">
        <f t="shared" si="2"/>
        <v>-1118.6100000000015</v>
      </c>
      <c r="AI5" s="202">
        <f t="shared" si="1"/>
        <v>-2.9883445985205915E-2</v>
      </c>
    </row>
    <row r="6" spans="1:35" ht="15.75" thickBot="1" x14ac:dyDescent="0.3">
      <c r="A6">
        <v>4</v>
      </c>
      <c r="B6" s="144" t="s">
        <v>271</v>
      </c>
      <c r="C6" s="207">
        <f>+SUMIFS('Cuadro 2 (columna AD-AC)'!$K:$K,'Cuadro 2 (columna AD-AC)'!$C:$C,Resumen!$A6,'Cuadro 2 (columna AD-AC)'!$G:$G,"HABITAT",'Cuadro 2 (columna AD-AC)'!$D:$D,Resumen!$B6)</f>
        <v>0</v>
      </c>
      <c r="E6" s="146" t="s">
        <v>95</v>
      </c>
      <c r="F6" s="145">
        <f>+SUMIFS('Cuadro 3'!$D:$D,'Cuadro 3'!$A:$A,Resumen!$E6)</f>
        <v>2.82</v>
      </c>
      <c r="H6" s="147" t="s">
        <v>95</v>
      </c>
      <c r="I6" s="145">
        <f>+SUMIFS('Cuadro 7'!$G:$G,'Cuadro 7'!$A:$A,Resumen!$H6)</f>
        <v>55</v>
      </c>
      <c r="K6" s="147" t="s">
        <v>65</v>
      </c>
      <c r="L6" s="153" t="s">
        <v>58</v>
      </c>
      <c r="M6" s="58">
        <f>+SUMIFS('Cuadro 4'!$D:$D,'Cuadro 4'!$A:$A,Resumen!$K6,'Cuadro 4'!$O:$O,Resumen!$L6)</f>
        <v>0.01</v>
      </c>
      <c r="O6" s="167" t="s">
        <v>330</v>
      </c>
      <c r="P6" s="168">
        <f>+C11</f>
        <v>7.17</v>
      </c>
      <c r="Q6" s="169">
        <f>+SUMPRODUCT(F29:F30,I18:I19)/SUM(F29:F30)/365</f>
        <v>9.1236550088007959</v>
      </c>
      <c r="R6" s="218"/>
      <c r="S6" s="213"/>
      <c r="T6" s="211"/>
      <c r="U6" s="213"/>
      <c r="W6" s="139" t="s">
        <v>354</v>
      </c>
      <c r="X6" s="153" t="s">
        <v>166</v>
      </c>
      <c r="Y6">
        <f>+SUMIF($L$3:$L$30,$X6,$M$3:$M$30)</f>
        <v>0</v>
      </c>
      <c r="AA6" s="137" t="s">
        <v>356</v>
      </c>
      <c r="AB6">
        <f>+VLOOKUP($AA6,'Cuadro 22 (D)'!$A:$C,3,FALSE)</f>
        <v>0</v>
      </c>
      <c r="AC6" s="60">
        <f t="shared" si="0"/>
        <v>0</v>
      </c>
      <c r="AE6" s="137" t="s">
        <v>356</v>
      </c>
      <c r="AF6" s="203">
        <f>+SUMIFS('Cuadro 27 (CP)'!$F:$F,'Cuadro 27 (CP)'!$A:$A,Resumen!$AE6,'Cuadro 27 (CP)'!$J:$J,Resumen!AF$2,'Cuadro 27 (CP)'!$K:$K,"SI")+SUMIFS('Cuadro 27 (CP)'!$F:$F,'Cuadro 27 (CP)'!$D:$D,Resumen!$AE6,'Cuadro 27 (CP)'!$J:$J,Resumen!AG$2,'Cuadro 27 (CP)'!$K:$K,"SI")</f>
        <v>0.33</v>
      </c>
      <c r="AG6" s="203">
        <f>+SUMIFS('Cuadro 27 (CP)'!$F:$F,'Cuadro 27 (CP)'!$A:$A,Resumen!$AE6,'Cuadro 27 (CP)'!$J:$J,Resumen!AG$2,'Cuadro 27 (CP)'!$K:$K,"SI")+SUMIFS('Cuadro 27 (CP)'!$F:$F,'Cuadro 27 (CP)'!$D:$D,Resumen!$AE6,'Cuadro 27 (CP)'!$J:$J,Resumen!AF$2,'Cuadro 27 (CP)'!$K:$K,"SI")</f>
        <v>0</v>
      </c>
      <c r="AH6" s="203">
        <f t="shared" si="2"/>
        <v>0.33</v>
      </c>
      <c r="AI6" s="202">
        <f t="shared" si="1"/>
        <v>8.8158850494076931E-6</v>
      </c>
    </row>
    <row r="7" spans="1:35" x14ac:dyDescent="0.25">
      <c r="A7">
        <v>5</v>
      </c>
      <c r="B7" s="143" t="s">
        <v>272</v>
      </c>
      <c r="C7" s="145">
        <f>+SUMIFS('Cuadro 2 (columna AD-AC)'!$K:$K,'Cuadro 2 (columna AD-AC)'!$C:$C,Resumen!$A7,'Cuadro 2 (columna AD-AC)'!$G:$G,"HABITAT",'Cuadro 2 (columna AD-AC)'!$D:$D,Resumen!$B7)</f>
        <v>88.32</v>
      </c>
      <c r="E7" s="146" t="s">
        <v>97</v>
      </c>
      <c r="F7" s="145">
        <f>+SUMIFS('Cuadro 3'!$D:$D,'Cuadro 3'!$A:$A,Resumen!$E7)</f>
        <v>0</v>
      </c>
      <c r="H7" s="147" t="s">
        <v>97</v>
      </c>
      <c r="I7" s="145">
        <f>+SUMIFS('Cuadro 7'!$G:$G,'Cuadro 7'!$A:$A,Resumen!$H7)</f>
        <v>766</v>
      </c>
      <c r="K7" s="147" t="s">
        <v>67</v>
      </c>
      <c r="L7" s="153" t="s">
        <v>58</v>
      </c>
      <c r="M7" s="58">
        <f>+SUMIFS('Cuadro 4'!$D:$D,'Cuadro 4'!$A:$A,Resumen!$K7,'Cuadro 4'!$O:$O,Resumen!$L7)</f>
        <v>6.74</v>
      </c>
      <c r="O7" s="159" t="s">
        <v>23</v>
      </c>
      <c r="P7" s="164">
        <f>+C14</f>
        <v>19.09</v>
      </c>
      <c r="Q7" s="160">
        <f>+I24/365</f>
        <v>0.58630136986301373</v>
      </c>
      <c r="R7" s="188">
        <v>13.52</v>
      </c>
      <c r="S7" s="191">
        <v>0.3</v>
      </c>
      <c r="T7" s="176">
        <f>+R7-P7</f>
        <v>-5.57</v>
      </c>
      <c r="U7" s="166">
        <f>+S7-Q7</f>
        <v>-0.28630136986301374</v>
      </c>
      <c r="W7" t="s">
        <v>145</v>
      </c>
      <c r="X7" s="153" t="s">
        <v>145</v>
      </c>
      <c r="Y7">
        <f>+SUMIF($L$3:$L$30,$X7,$M$3:$M$30)</f>
        <v>0.15</v>
      </c>
      <c r="AA7" s="139" t="s">
        <v>357</v>
      </c>
      <c r="AB7">
        <f>+VLOOKUP($AA7,'Cuadro 22 (D)'!$A:$C,3,FALSE)</f>
        <v>0</v>
      </c>
      <c r="AC7" s="60">
        <f t="shared" si="0"/>
        <v>0</v>
      </c>
      <c r="AE7" s="139" t="s">
        <v>357</v>
      </c>
      <c r="AF7" s="203">
        <f>+SUMIFS('Cuadro 27 (CP)'!$F:$F,'Cuadro 27 (CP)'!$A:$A,Resumen!$AE7,'Cuadro 27 (CP)'!$J:$J,Resumen!AF$2,'Cuadro 27 (CP)'!$K:$K,"SI")+SUMIFS('Cuadro 27 (CP)'!$F:$F,'Cuadro 27 (CP)'!$D:$D,Resumen!$AE7,'Cuadro 27 (CP)'!$J:$J,Resumen!AG$2,'Cuadro 27 (CP)'!$K:$K,"SI")</f>
        <v>0.2</v>
      </c>
      <c r="AG7" s="203">
        <f>+SUMIFS('Cuadro 27 (CP)'!$F:$F,'Cuadro 27 (CP)'!$A:$A,Resumen!$AE7,'Cuadro 27 (CP)'!$J:$J,Resumen!AG$2,'Cuadro 27 (CP)'!$K:$K,"SI")+SUMIFS('Cuadro 27 (CP)'!$F:$F,'Cuadro 27 (CP)'!$D:$D,Resumen!$AE7,'Cuadro 27 (CP)'!$J:$J,Resumen!AF$2,'Cuadro 27 (CP)'!$K:$K,"SI")</f>
        <v>0</v>
      </c>
      <c r="AH7" s="203">
        <f t="shared" si="2"/>
        <v>0.2</v>
      </c>
      <c r="AI7" s="202">
        <f t="shared" si="1"/>
        <v>5.3429606360046623E-6</v>
      </c>
    </row>
    <row r="8" spans="1:35" x14ac:dyDescent="0.25">
      <c r="A8">
        <v>6</v>
      </c>
      <c r="B8" s="144" t="s">
        <v>273</v>
      </c>
      <c r="C8" s="145">
        <f>+SUMIFS('Cuadro 2 (columna AD-AC)'!$K:$K,'Cuadro 2 (columna AD-AC)'!$C:$C,Resumen!$A8,'Cuadro 2 (columna AD-AC)'!$G:$G,"HABITAT",'Cuadro 2 (columna AD-AC)'!$D:$D,Resumen!$B8)</f>
        <v>10.68</v>
      </c>
      <c r="E8" s="147" t="s">
        <v>216</v>
      </c>
      <c r="F8" s="145">
        <f>+SUMIFS('Cuadro 3'!$D:$D,'Cuadro 3'!$A:$A,Resumen!$E8)</f>
        <v>10.68</v>
      </c>
      <c r="H8" s="154" t="s">
        <v>216</v>
      </c>
      <c r="I8" s="145">
        <f>+SUMIFS('Cuadro 7'!$G:$G,'Cuadro 7'!$A:$A,Resumen!$H8)</f>
        <v>1798</v>
      </c>
      <c r="K8" s="147" t="s">
        <v>127</v>
      </c>
      <c r="L8" s="153" t="s">
        <v>166</v>
      </c>
      <c r="M8" s="58">
        <f>+SUMIFS('Cuadro 4'!$D:$D,'Cuadro 4'!$A:$A,Resumen!$K8,'Cuadro 4'!$O:$O,Resumen!$L8)</f>
        <v>0</v>
      </c>
      <c r="O8" s="159" t="s">
        <v>24</v>
      </c>
      <c r="P8" s="164">
        <f>+C13</f>
        <v>0.31</v>
      </c>
      <c r="Q8" s="160">
        <f>+I25/365</f>
        <v>4.0027397260273974</v>
      </c>
      <c r="R8" s="159"/>
      <c r="S8" s="170"/>
      <c r="T8" s="177">
        <f t="shared" ref="T8:T14" si="3">+R8-P8</f>
        <v>-0.31</v>
      </c>
      <c r="U8" s="182"/>
      <c r="Y8">
        <f>+SUM(Y3:Y7)</f>
        <v>89.580000000000013</v>
      </c>
      <c r="AA8" s="137" t="s">
        <v>358</v>
      </c>
      <c r="AB8">
        <f>+VLOOKUP($AA8,'Cuadro 22 (D)'!$A:$C,3,FALSE)</f>
        <v>0.03</v>
      </c>
      <c r="AC8" s="60">
        <f t="shared" si="0"/>
        <v>8.0144409540069935E-7</v>
      </c>
      <c r="AE8" s="137" t="s">
        <v>358</v>
      </c>
      <c r="AF8" s="203">
        <f>+SUMIFS('Cuadro 27 (CP)'!$F:$F,'Cuadro 27 (CP)'!$A:$A,Resumen!$AE8,'Cuadro 27 (CP)'!$J:$J,Resumen!AF$2,'Cuadro 27 (CP)'!$K:$K,"SI")+SUMIFS('Cuadro 27 (CP)'!$F:$F,'Cuadro 27 (CP)'!$D:$D,Resumen!$AE8,'Cuadro 27 (CP)'!$J:$J,Resumen!AG$2,'Cuadro 27 (CP)'!$K:$K,"SI")</f>
        <v>8.1999999999999993</v>
      </c>
      <c r="AG8" s="203">
        <f>+SUMIFS('Cuadro 27 (CP)'!$F:$F,'Cuadro 27 (CP)'!$A:$A,Resumen!$AE8,'Cuadro 27 (CP)'!$J:$J,Resumen!AG$2,'Cuadro 27 (CP)'!$K:$K,"SI")+SUMIFS('Cuadro 27 (CP)'!$F:$F,'Cuadro 27 (CP)'!$D:$D,Resumen!$AE8,'Cuadro 27 (CP)'!$J:$J,Resumen!AF$2,'Cuadro 27 (CP)'!$K:$K,"SI")</f>
        <v>22.919999999999998</v>
      </c>
      <c r="AH8" s="203">
        <f t="shared" si="2"/>
        <v>-14.719999999999999</v>
      </c>
      <c r="AI8" s="202">
        <f t="shared" si="1"/>
        <v>-3.9324190280994314E-4</v>
      </c>
    </row>
    <row r="9" spans="1:35" x14ac:dyDescent="0.25">
      <c r="A9">
        <v>7</v>
      </c>
      <c r="B9" s="144" t="s">
        <v>274</v>
      </c>
      <c r="C9" s="145">
        <f>+SUMIFS('Cuadro 2 (columna AD-AC)'!$K:$K,'Cuadro 2 (columna AD-AC)'!$C:$C,Resumen!$A9,'Cuadro 2 (columna AD-AC)'!$G:$G,"HABITAT",'Cuadro 2 (columna AD-AC)'!$D:$D,Resumen!$B9)</f>
        <v>32.4</v>
      </c>
      <c r="E9" s="146" t="s">
        <v>127</v>
      </c>
      <c r="F9" s="145">
        <f>+SUMIFS('Cuadro 3'!$D:$D,'Cuadro 3'!$A:$A,Resumen!$E9)</f>
        <v>0</v>
      </c>
      <c r="H9" s="147" t="s">
        <v>127</v>
      </c>
      <c r="I9" s="145">
        <f>+SUMIFS('Cuadro 7'!$G:$G,'Cuadro 7'!$A:$A,Resumen!$H9)</f>
        <v>3790</v>
      </c>
      <c r="K9" s="147" t="s">
        <v>127</v>
      </c>
      <c r="L9" s="153" t="s">
        <v>56</v>
      </c>
      <c r="M9" s="58">
        <f>+SUMIFS('Cuadro 4'!$D:$D,'Cuadro 4'!$A:$A,Resumen!$K9,'Cuadro 4'!$O:$O,Resumen!$L9)</f>
        <v>0</v>
      </c>
      <c r="O9" s="159" t="s">
        <v>327</v>
      </c>
      <c r="P9" s="164">
        <f>+F49</f>
        <v>4.8499999999999996</v>
      </c>
      <c r="Q9" s="161">
        <f>+I28/365</f>
        <v>4.5123287671232877</v>
      </c>
      <c r="R9" s="159"/>
      <c r="S9" s="170"/>
      <c r="T9" s="177">
        <f t="shared" si="3"/>
        <v>-4.8499999999999996</v>
      </c>
      <c r="U9" s="182"/>
      <c r="X9" s="153" t="s">
        <v>397</v>
      </c>
      <c r="Y9">
        <f>+C3</f>
        <v>89.61</v>
      </c>
      <c r="AA9" s="139" t="s">
        <v>359</v>
      </c>
      <c r="AB9">
        <f>+VLOOKUP($AA9,'Cuadro 22 (D)'!$A:$C,3,FALSE)</f>
        <v>0.08</v>
      </c>
      <c r="AC9" s="60">
        <f t="shared" si="0"/>
        <v>2.1371842544018649E-6</v>
      </c>
      <c r="AE9" s="139" t="s">
        <v>359</v>
      </c>
      <c r="AF9" s="203">
        <f>+SUMIFS('Cuadro 27 (CP)'!$F:$F,'Cuadro 27 (CP)'!$A:$A,Resumen!$AE9,'Cuadro 27 (CP)'!$J:$J,Resumen!AF$2,'Cuadro 27 (CP)'!$K:$K,"SI")+SUMIFS('Cuadro 27 (CP)'!$F:$F,'Cuadro 27 (CP)'!$D:$D,Resumen!$AE9,'Cuadro 27 (CP)'!$J:$J,Resumen!AG$2,'Cuadro 27 (CP)'!$K:$K,"SI")</f>
        <v>0.47</v>
      </c>
      <c r="AG9" s="203">
        <f>+SUMIFS('Cuadro 27 (CP)'!$F:$F,'Cuadro 27 (CP)'!$A:$A,Resumen!$AE9,'Cuadro 27 (CP)'!$J:$J,Resumen!AG$2,'Cuadro 27 (CP)'!$K:$K,"SI")+SUMIFS('Cuadro 27 (CP)'!$F:$F,'Cuadro 27 (CP)'!$D:$D,Resumen!$AE9,'Cuadro 27 (CP)'!$J:$J,Resumen!AF$2,'Cuadro 27 (CP)'!$K:$K,"SI")</f>
        <v>0</v>
      </c>
      <c r="AH9" s="203">
        <f t="shared" si="2"/>
        <v>0.47</v>
      </c>
      <c r="AI9" s="202">
        <f t="shared" si="1"/>
        <v>1.2555957494610956E-5</v>
      </c>
    </row>
    <row r="10" spans="1:35" x14ac:dyDescent="0.25">
      <c r="A10">
        <v>8</v>
      </c>
      <c r="B10" s="144" t="s">
        <v>275</v>
      </c>
      <c r="C10" s="145">
        <f>+SUMIFS('Cuadro 2 (columna AD-AC)'!$K:$K,'Cuadro 2 (columna AD-AC)'!$C:$C,Resumen!$A10,'Cuadro 2 (columna AD-AC)'!$G:$G,"HABITAT",'Cuadro 2 (columna AD-AC)'!$D:$D,Resumen!$B10)</f>
        <v>0.17</v>
      </c>
      <c r="E10" s="146" t="s">
        <v>77</v>
      </c>
      <c r="F10" s="145">
        <f>+SUMIFS('Cuadro 3'!$D:$D,'Cuadro 3'!$A:$A,Resumen!$E10)</f>
        <v>12.9</v>
      </c>
      <c r="H10" s="147" t="s">
        <v>77</v>
      </c>
      <c r="I10" s="145">
        <f>+SUMIFS('Cuadro 7'!$G:$G,'Cuadro 7'!$A:$A,Resumen!$H10)</f>
        <v>3549</v>
      </c>
      <c r="K10" s="147" t="s">
        <v>127</v>
      </c>
      <c r="L10" s="153" t="s">
        <v>57</v>
      </c>
      <c r="M10" s="58">
        <f>+SUMIFS('Cuadro 4'!$D:$D,'Cuadro 4'!$A:$A,Resumen!$K10,'Cuadro 4'!$O:$O,Resumen!$L10)</f>
        <v>0</v>
      </c>
      <c r="O10" s="159" t="s">
        <v>329</v>
      </c>
      <c r="P10" s="164">
        <f>+F41</f>
        <v>0.2</v>
      </c>
      <c r="Q10" s="161">
        <f>+I27/365</f>
        <v>7.2821917808219174</v>
      </c>
      <c r="R10" s="254">
        <v>4.82</v>
      </c>
      <c r="S10" s="170"/>
      <c r="T10" s="177">
        <f t="shared" si="3"/>
        <v>4.62</v>
      </c>
      <c r="U10" s="182"/>
      <c r="AA10" s="137" t="s">
        <v>360</v>
      </c>
      <c r="AB10">
        <f>+VLOOKUP($AA10,'Cuadro 22 (D)'!$A:$C,3,FALSE)</f>
        <v>0.03</v>
      </c>
      <c r="AC10" s="60">
        <f t="shared" si="0"/>
        <v>8.0144409540069935E-7</v>
      </c>
      <c r="AE10" s="137" t="s">
        <v>360</v>
      </c>
      <c r="AF10" s="203">
        <f>+SUMIFS('Cuadro 27 (CP)'!$F:$F,'Cuadro 27 (CP)'!$A:$A,Resumen!$AE10,'Cuadro 27 (CP)'!$J:$J,Resumen!AF$2,'Cuadro 27 (CP)'!$K:$K,"SI")+SUMIFS('Cuadro 27 (CP)'!$F:$F,'Cuadro 27 (CP)'!$D:$D,Resumen!$AE10,'Cuadro 27 (CP)'!$J:$J,Resumen!AG$2,'Cuadro 27 (CP)'!$K:$K,"SI")</f>
        <v>0</v>
      </c>
      <c r="AG10" s="203">
        <f>+SUMIFS('Cuadro 27 (CP)'!$F:$F,'Cuadro 27 (CP)'!$A:$A,Resumen!$AE10,'Cuadro 27 (CP)'!$J:$J,Resumen!AG$2,'Cuadro 27 (CP)'!$K:$K,"SI")+SUMIFS('Cuadro 27 (CP)'!$F:$F,'Cuadro 27 (CP)'!$D:$D,Resumen!$AE10,'Cuadro 27 (CP)'!$J:$J,Resumen!AF$2,'Cuadro 27 (CP)'!$K:$K,"SI")</f>
        <v>0</v>
      </c>
      <c r="AH10" s="203">
        <f t="shared" si="2"/>
        <v>0</v>
      </c>
      <c r="AI10" s="202">
        <f t="shared" si="1"/>
        <v>0</v>
      </c>
    </row>
    <row r="11" spans="1:35" x14ac:dyDescent="0.25">
      <c r="A11">
        <v>9</v>
      </c>
      <c r="B11" s="144" t="s">
        <v>276</v>
      </c>
      <c r="C11" s="145">
        <f>+SUMIFS('Cuadro 2 (columna AD-AC)'!$K:$K,'Cuadro 2 (columna AD-AC)'!$C:$C,Resumen!$A11,'Cuadro 2 (columna AD-AC)'!$G:$G,"HABITAT",'Cuadro 2 (columna AD-AC)'!$D:$D,Resumen!$B11)</f>
        <v>7.17</v>
      </c>
      <c r="E11" s="146" t="s">
        <v>79</v>
      </c>
      <c r="F11" s="145">
        <f>+SUMIFS('Cuadro 3'!$D:$D,'Cuadro 3'!$A:$A,Resumen!$E11)</f>
        <v>19.489999999999998</v>
      </c>
      <c r="H11" s="147" t="s">
        <v>79</v>
      </c>
      <c r="I11" s="145">
        <f>+SUMIFS('Cuadro 7'!$G:$G,'Cuadro 7'!$A:$A,Resumen!$H11)</f>
        <v>4288</v>
      </c>
      <c r="K11" s="147" t="s">
        <v>71</v>
      </c>
      <c r="L11" s="153" t="s">
        <v>56</v>
      </c>
      <c r="M11" s="58">
        <f>+SUMIFS('Cuadro 4'!$D:$D,'Cuadro 4'!$A:$A,Resumen!$K11,'Cuadro 4'!$O:$O,Resumen!$L11)</f>
        <v>0.52</v>
      </c>
      <c r="O11" s="159" t="s">
        <v>328</v>
      </c>
      <c r="P11" s="164">
        <f>+C23-F49-F41</f>
        <v>3.71</v>
      </c>
      <c r="Q11" s="162" t="s">
        <v>139</v>
      </c>
      <c r="R11" s="159"/>
      <c r="S11" s="170"/>
      <c r="T11" s="177">
        <f t="shared" si="3"/>
        <v>-3.71</v>
      </c>
      <c r="U11" s="182"/>
      <c r="Y11">
        <f>+Y8/100</f>
        <v>0.89580000000000015</v>
      </c>
      <c r="AA11" s="139" t="s">
        <v>361</v>
      </c>
      <c r="AB11">
        <f>+VLOOKUP($AA11,'Cuadro 22 (D)'!$A:$C,3,FALSE)</f>
        <v>0.01</v>
      </c>
      <c r="AC11" s="60">
        <f t="shared" si="0"/>
        <v>2.6714803180023312E-7</v>
      </c>
      <c r="AE11" s="139" t="s">
        <v>361</v>
      </c>
      <c r="AF11" s="203">
        <f>+SUMIFS('Cuadro 27 (CP)'!$F:$F,'Cuadro 27 (CP)'!$A:$A,Resumen!$AE11,'Cuadro 27 (CP)'!$J:$J,Resumen!AF$2,'Cuadro 27 (CP)'!$K:$K,"SI")+SUMIFS('Cuadro 27 (CP)'!$F:$F,'Cuadro 27 (CP)'!$D:$D,Resumen!$AE11,'Cuadro 27 (CP)'!$J:$J,Resumen!AG$2,'Cuadro 27 (CP)'!$K:$K,"SI")</f>
        <v>1.2</v>
      </c>
      <c r="AG11" s="203">
        <f>+SUMIFS('Cuadro 27 (CP)'!$F:$F,'Cuadro 27 (CP)'!$A:$A,Resumen!$AE11,'Cuadro 27 (CP)'!$J:$J,Resumen!AG$2,'Cuadro 27 (CP)'!$K:$K,"SI")+SUMIFS('Cuadro 27 (CP)'!$F:$F,'Cuadro 27 (CP)'!$D:$D,Resumen!$AE11,'Cuadro 27 (CP)'!$J:$J,Resumen!AF$2,'Cuadro 27 (CP)'!$K:$K,"SI")</f>
        <v>0.5</v>
      </c>
      <c r="AH11" s="203">
        <f t="shared" si="2"/>
        <v>0.7</v>
      </c>
      <c r="AI11" s="202">
        <f t="shared" si="1"/>
        <v>1.8700362226016316E-5</v>
      </c>
    </row>
    <row r="12" spans="1:35" x14ac:dyDescent="0.25">
      <c r="A12">
        <v>10</v>
      </c>
      <c r="B12" s="144" t="s">
        <v>277</v>
      </c>
      <c r="C12" s="145">
        <f>+SUMIFS('Cuadro 2 (columna AD-AC)'!$K:$K,'Cuadro 2 (columna AD-AC)'!$C:$C,Resumen!$A12,'Cuadro 2 (columna AD-AC)'!$G:$G,"HABITAT",'Cuadro 2 (columna AD-AC)'!$D:$D,Resumen!$B12)</f>
        <v>18.260000000000002</v>
      </c>
      <c r="E12" s="147" t="s">
        <v>217</v>
      </c>
      <c r="F12" s="145">
        <f>+SUMIFS('Cuadro 3'!$D:$D,'Cuadro 3'!$A:$A,Resumen!$E12)</f>
        <v>32.4</v>
      </c>
      <c r="H12" s="154" t="s">
        <v>217</v>
      </c>
      <c r="I12" s="145">
        <f>+SUMIFS('Cuadro 7'!$G:$G,'Cuadro 7'!$A:$A,Resumen!$H12)</f>
        <v>3994</v>
      </c>
      <c r="K12" s="147" t="s">
        <v>71</v>
      </c>
      <c r="L12" s="153" t="s">
        <v>58</v>
      </c>
      <c r="M12" s="58">
        <f>+SUMIFS('Cuadro 4'!$D:$D,'Cuadro 4'!$A:$A,Resumen!$K12,'Cuadro 4'!$O:$O,Resumen!$L12)</f>
        <v>15.21</v>
      </c>
      <c r="O12" s="159" t="s">
        <v>288</v>
      </c>
      <c r="P12" s="164">
        <f>+C20</f>
        <v>1.56</v>
      </c>
      <c r="Q12" s="162" t="s">
        <v>139</v>
      </c>
      <c r="R12" s="159"/>
      <c r="S12" s="170"/>
      <c r="T12" s="177">
        <f t="shared" si="3"/>
        <v>-1.56</v>
      </c>
      <c r="U12" s="182"/>
      <c r="AA12" s="137" t="s">
        <v>362</v>
      </c>
      <c r="AB12">
        <f>+VLOOKUP($AA12,'Cuadro 22 (D)'!$A:$C,3,FALSE)</f>
        <v>0</v>
      </c>
      <c r="AC12" s="60">
        <f t="shared" si="0"/>
        <v>0</v>
      </c>
      <c r="AE12" s="137" t="s">
        <v>362</v>
      </c>
      <c r="AF12" s="203">
        <f>+SUMIFS('Cuadro 27 (CP)'!$F:$F,'Cuadro 27 (CP)'!$A:$A,Resumen!$AE12,'Cuadro 27 (CP)'!$J:$J,Resumen!AF$2,'Cuadro 27 (CP)'!$K:$K,"SI")+SUMIFS('Cuadro 27 (CP)'!$F:$F,'Cuadro 27 (CP)'!$D:$D,Resumen!$AE12,'Cuadro 27 (CP)'!$J:$J,Resumen!AG$2,'Cuadro 27 (CP)'!$K:$K,"SI")</f>
        <v>0</v>
      </c>
      <c r="AG12" s="203">
        <f>+SUMIFS('Cuadro 27 (CP)'!$F:$F,'Cuadro 27 (CP)'!$A:$A,Resumen!$AE12,'Cuadro 27 (CP)'!$J:$J,Resumen!AG$2,'Cuadro 27 (CP)'!$K:$K,"SI")+SUMIFS('Cuadro 27 (CP)'!$F:$F,'Cuadro 27 (CP)'!$D:$D,Resumen!$AE12,'Cuadro 27 (CP)'!$J:$J,Resumen!AF$2,'Cuadro 27 (CP)'!$K:$K,"SI")</f>
        <v>0</v>
      </c>
      <c r="AH12" s="203">
        <f t="shared" si="2"/>
        <v>0</v>
      </c>
      <c r="AI12" s="202">
        <f t="shared" si="1"/>
        <v>0</v>
      </c>
    </row>
    <row r="13" spans="1:35" x14ac:dyDescent="0.25">
      <c r="A13">
        <v>11</v>
      </c>
      <c r="B13" s="144" t="s">
        <v>278</v>
      </c>
      <c r="C13" s="145">
        <f>+SUMIFS('Cuadro 2 (columna AD-AC)'!$K:$K,'Cuadro 2 (columna AD-AC)'!$C:$C,Resumen!$A13,'Cuadro 2 (columna AD-AC)'!$G:$G,"HABITAT",'Cuadro 2 (columna AD-AC)'!$D:$D,Resumen!$B13)</f>
        <v>0.31</v>
      </c>
      <c r="E13" s="146" t="s">
        <v>73</v>
      </c>
      <c r="F13" s="145">
        <f>+SUMIFS('Cuadro 3'!$D:$D,'Cuadro 3'!$A:$A,Resumen!$E13)</f>
        <v>0.15</v>
      </c>
      <c r="H13" s="147" t="s">
        <v>73</v>
      </c>
      <c r="I13" s="145">
        <f>+SUMIFS('Cuadro 7'!$G:$G,'Cuadro 7'!$A:$A,Resumen!$H13)</f>
        <v>965</v>
      </c>
      <c r="K13" s="147" t="s">
        <v>71</v>
      </c>
      <c r="L13" s="153" t="s">
        <v>57</v>
      </c>
      <c r="M13" s="58">
        <f>+SUMIFS('Cuadro 4'!$D:$D,'Cuadro 4'!$A:$A,Resumen!$K13,'Cuadro 4'!$O:$O,Resumen!$L13)</f>
        <v>0.41</v>
      </c>
      <c r="O13" s="159" t="s">
        <v>287</v>
      </c>
      <c r="P13" s="164">
        <f>+C5</f>
        <v>1.08</v>
      </c>
      <c r="Q13" s="162" t="s">
        <v>139</v>
      </c>
      <c r="R13" s="159"/>
      <c r="S13" s="170"/>
      <c r="T13" s="177">
        <f t="shared" si="3"/>
        <v>-1.08</v>
      </c>
      <c r="U13" s="182"/>
      <c r="AA13" s="139" t="s">
        <v>363</v>
      </c>
      <c r="AB13">
        <f>+VLOOKUP($AA13,'Cuadro 22 (D)'!$A:$C,3,FALSE)</f>
        <v>0.41</v>
      </c>
      <c r="AC13" s="60">
        <f t="shared" si="0"/>
        <v>1.0953069303809556E-5</v>
      </c>
      <c r="AE13" s="139" t="s">
        <v>363</v>
      </c>
      <c r="AF13" s="203">
        <f>+SUMIFS('Cuadro 27 (CP)'!$F:$F,'Cuadro 27 (CP)'!$A:$A,Resumen!$AE13,'Cuadro 27 (CP)'!$J:$J,Resumen!AF$2,'Cuadro 27 (CP)'!$K:$K,"SI")+SUMIFS('Cuadro 27 (CP)'!$F:$F,'Cuadro 27 (CP)'!$D:$D,Resumen!$AE13,'Cuadro 27 (CP)'!$J:$J,Resumen!AG$2,'Cuadro 27 (CP)'!$K:$K,"SI")</f>
        <v>0</v>
      </c>
      <c r="AG13" s="203">
        <f>+SUMIFS('Cuadro 27 (CP)'!$F:$F,'Cuadro 27 (CP)'!$A:$A,Resumen!$AE13,'Cuadro 27 (CP)'!$J:$J,Resumen!AG$2,'Cuadro 27 (CP)'!$K:$K,"SI")+SUMIFS('Cuadro 27 (CP)'!$F:$F,'Cuadro 27 (CP)'!$D:$D,Resumen!$AE13,'Cuadro 27 (CP)'!$J:$J,Resumen!AF$2,'Cuadro 27 (CP)'!$K:$K,"SI")</f>
        <v>0.08</v>
      </c>
      <c r="AH13" s="203">
        <f t="shared" si="2"/>
        <v>-0.08</v>
      </c>
      <c r="AI13" s="202">
        <f t="shared" si="1"/>
        <v>-2.1371842544018649E-6</v>
      </c>
    </row>
    <row r="14" spans="1:35" ht="15.75" thickBot="1" x14ac:dyDescent="0.3">
      <c r="A14">
        <v>12</v>
      </c>
      <c r="B14" s="144" t="s">
        <v>279</v>
      </c>
      <c r="C14" s="145">
        <f>+SUMIFS('Cuadro 2 (columna AD-AC)'!$K:$K,'Cuadro 2 (columna AD-AC)'!$C:$C,Resumen!$A14,'Cuadro 2 (columna AD-AC)'!$G:$G,"HABITAT",'Cuadro 2 (columna AD-AC)'!$D:$D,Resumen!$B14)</f>
        <v>19.09</v>
      </c>
      <c r="E14" s="146" t="s">
        <v>81</v>
      </c>
      <c r="F14" s="145">
        <f>+SUMIFS('Cuadro 3'!$D:$D,'Cuadro 3'!$A:$A,Resumen!$E14)</f>
        <v>0.02</v>
      </c>
      <c r="H14" s="147" t="s">
        <v>81</v>
      </c>
      <c r="I14" s="145">
        <f>+SUMIFS('Cuadro 7'!$G:$G,'Cuadro 7'!$A:$A,Resumen!$H14)</f>
        <v>2323</v>
      </c>
      <c r="K14" s="147" t="s">
        <v>153</v>
      </c>
      <c r="L14" s="153" t="s">
        <v>58</v>
      </c>
      <c r="M14" s="58">
        <f>+SUMIFS('Cuadro 4'!$D:$D,'Cuadro 4'!$A:$A,Resumen!$K14,'Cuadro 4'!$O:$O,Resumen!$L14)</f>
        <v>0.04</v>
      </c>
      <c r="O14" s="159" t="s">
        <v>285</v>
      </c>
      <c r="P14" s="164">
        <f>+C15+C16+C17+C18+C6+C25</f>
        <v>0.44</v>
      </c>
      <c r="Q14" s="162" t="s">
        <v>139</v>
      </c>
      <c r="R14" s="159"/>
      <c r="S14" s="170"/>
      <c r="T14" s="177">
        <f t="shared" si="3"/>
        <v>-0.44</v>
      </c>
      <c r="U14" s="182"/>
      <c r="AA14" s="137" t="s">
        <v>364</v>
      </c>
      <c r="AB14">
        <f>+VLOOKUP($AA14,'Cuadro 22 (D)'!$A:$C,3,FALSE)</f>
        <v>0</v>
      </c>
      <c r="AC14" s="60">
        <f t="shared" si="0"/>
        <v>0</v>
      </c>
      <c r="AE14" s="137" t="s">
        <v>364</v>
      </c>
      <c r="AF14" s="203">
        <f>+SUMIFS('Cuadro 27 (CP)'!$F:$F,'Cuadro 27 (CP)'!$A:$A,Resumen!$AE14,'Cuadro 27 (CP)'!$J:$J,Resumen!AF$2,'Cuadro 27 (CP)'!$K:$K,"SI")+SUMIFS('Cuadro 27 (CP)'!$F:$F,'Cuadro 27 (CP)'!$D:$D,Resumen!$AE14,'Cuadro 27 (CP)'!$J:$J,Resumen!AG$2,'Cuadro 27 (CP)'!$K:$K,"SI")</f>
        <v>0.1</v>
      </c>
      <c r="AG14" s="203">
        <f>+SUMIFS('Cuadro 27 (CP)'!$F:$F,'Cuadro 27 (CP)'!$A:$A,Resumen!$AE14,'Cuadro 27 (CP)'!$J:$J,Resumen!AG$2,'Cuadro 27 (CP)'!$K:$K,"SI")+SUMIFS('Cuadro 27 (CP)'!$F:$F,'Cuadro 27 (CP)'!$D:$D,Resumen!$AE14,'Cuadro 27 (CP)'!$J:$J,Resumen!AF$2,'Cuadro 27 (CP)'!$K:$K,"SI")</f>
        <v>0</v>
      </c>
      <c r="AH14" s="203">
        <f t="shared" si="2"/>
        <v>0.1</v>
      </c>
      <c r="AI14" s="202">
        <f t="shared" si="1"/>
        <v>2.6714803180023312E-6</v>
      </c>
    </row>
    <row r="15" spans="1:35" ht="15.75" thickBot="1" x14ac:dyDescent="0.3">
      <c r="A15">
        <v>13</v>
      </c>
      <c r="B15" s="144" t="s">
        <v>280</v>
      </c>
      <c r="C15" s="145">
        <f>+SUMIFS('Cuadro 2 (columna AD-AC)'!$K:$K,'Cuadro 2 (columna AD-AC)'!$C:$C,Resumen!$A15,'Cuadro 2 (columna AD-AC)'!$G:$G,"HABITAT",'Cuadro 2 (columna AD-AC)'!$D:$D,Resumen!$B15)</f>
        <v>0.15</v>
      </c>
      <c r="E15" s="147" t="s">
        <v>218</v>
      </c>
      <c r="F15" s="145">
        <f>+SUMIFS('Cuadro 3'!$D:$D,'Cuadro 3'!$A:$A,Resumen!$E15)</f>
        <v>0.17</v>
      </c>
      <c r="H15" s="147" t="s">
        <v>218</v>
      </c>
      <c r="I15" s="145">
        <f>+SUMIFS('Cuadro 7'!$G:$G,'Cuadro 7'!$A:$A,Resumen!$H15)</f>
        <v>1111</v>
      </c>
      <c r="K15" s="147" t="s">
        <v>73</v>
      </c>
      <c r="L15" s="153" t="s">
        <v>145</v>
      </c>
      <c r="M15" s="58">
        <f>+SUMIFS('Cuadro 4'!$D:$D,'Cuadro 4'!$A:$A,Resumen!$K15,'Cuadro 4'!$O:$O,Resumen!$L15)</f>
        <v>0.15</v>
      </c>
      <c r="O15" s="178" t="s">
        <v>289</v>
      </c>
      <c r="P15" s="179">
        <f>+SUM(P4:P14)</f>
        <v>99.92</v>
      </c>
      <c r="Q15" s="180">
        <f>+SUMPRODUCT(P4:P10,Q4:Q10)/SUM(P4:P10)</f>
        <v>6.810088161953086</v>
      </c>
      <c r="R15" s="179">
        <v>100</v>
      </c>
      <c r="S15" s="172">
        <v>6.96</v>
      </c>
      <c r="T15" s="181"/>
      <c r="U15" s="183">
        <f>+S15-Q15</f>
        <v>0.14991183804691399</v>
      </c>
      <c r="AA15" s="139" t="s">
        <v>365</v>
      </c>
      <c r="AB15">
        <f>+VLOOKUP($AA15,'Cuadro 22 (D)'!$A:$C,3,FALSE)</f>
        <v>0</v>
      </c>
      <c r="AC15" s="60">
        <f t="shared" si="0"/>
        <v>0</v>
      </c>
      <c r="AE15" s="139" t="s">
        <v>365</v>
      </c>
      <c r="AF15" s="203">
        <f>+SUMIFS('Cuadro 27 (CP)'!$F:$F,'Cuadro 27 (CP)'!$A:$A,Resumen!$AE15,'Cuadro 27 (CP)'!$J:$J,Resumen!AF$2,'Cuadro 27 (CP)'!$K:$K,"SI")+SUMIFS('Cuadro 27 (CP)'!$F:$F,'Cuadro 27 (CP)'!$D:$D,Resumen!$AE15,'Cuadro 27 (CP)'!$J:$J,Resumen!AG$2,'Cuadro 27 (CP)'!$K:$K,"SI")</f>
        <v>0</v>
      </c>
      <c r="AG15" s="203">
        <f>+SUMIFS('Cuadro 27 (CP)'!$F:$F,'Cuadro 27 (CP)'!$A:$A,Resumen!$AE15,'Cuadro 27 (CP)'!$J:$J,Resumen!AG$2,'Cuadro 27 (CP)'!$K:$K,"SI")+SUMIFS('Cuadro 27 (CP)'!$F:$F,'Cuadro 27 (CP)'!$D:$D,Resumen!$AE15,'Cuadro 27 (CP)'!$J:$J,Resumen!AF$2,'Cuadro 27 (CP)'!$K:$K,"SI")</f>
        <v>0.61</v>
      </c>
      <c r="AH15" s="203">
        <f t="shared" si="2"/>
        <v>-0.61</v>
      </c>
      <c r="AI15" s="202">
        <f t="shared" si="1"/>
        <v>-1.629602993981422E-5</v>
      </c>
    </row>
    <row r="16" spans="1:35" x14ac:dyDescent="0.25">
      <c r="A16">
        <v>14</v>
      </c>
      <c r="B16" s="144" t="s">
        <v>281</v>
      </c>
      <c r="C16" s="145">
        <f>+SUMIFS('Cuadro 2 (columna AD-AC)'!$K:$K,'Cuadro 2 (columna AD-AC)'!$C:$C,Resumen!$A16,'Cuadro 2 (columna AD-AC)'!$G:$G,"HABITAT",'Cuadro 2 (columna AD-AC)'!$D:$D,Resumen!$B16)</f>
        <v>0.09</v>
      </c>
      <c r="E16" s="148" t="s">
        <v>40</v>
      </c>
      <c r="F16" s="145">
        <f>+SUMIFS('Cuadro 3'!$D:$D,'Cuadro 3'!$A:$A,Resumen!$E16)</f>
        <v>43.25</v>
      </c>
      <c r="H16" s="148" t="s">
        <v>40</v>
      </c>
      <c r="I16" s="145">
        <f>+SUMIFS('Cuadro 7'!$G:$G,'Cuadro 7'!$A:$A,Resumen!$H16)</f>
        <v>3440</v>
      </c>
      <c r="K16" s="147" t="s">
        <v>75</v>
      </c>
      <c r="L16" s="153" t="s">
        <v>58</v>
      </c>
      <c r="M16" s="58">
        <f>+SUMIFS('Cuadro 4'!$D:$D,'Cuadro 4'!$A:$A,Resumen!$K16,'Cuadro 4'!$O:$O,Resumen!$L16)</f>
        <v>2.08</v>
      </c>
      <c r="Q16" s="155">
        <f>+I30/365</f>
        <v>6.8082191780821919</v>
      </c>
      <c r="AA16" s="137" t="s">
        <v>366</v>
      </c>
      <c r="AB16">
        <f>+VLOOKUP($AA16,'Cuadro 22 (D)'!$A:$C,3,FALSE)</f>
        <v>0.1</v>
      </c>
      <c r="AC16" s="60">
        <f t="shared" si="0"/>
        <v>2.6714803180023312E-6</v>
      </c>
      <c r="AE16" s="137" t="s">
        <v>366</v>
      </c>
      <c r="AF16" s="203">
        <f>+SUMIFS('Cuadro 27 (CP)'!$F:$F,'Cuadro 27 (CP)'!$A:$A,Resumen!$AE16,'Cuadro 27 (CP)'!$J:$J,Resumen!AF$2,'Cuadro 27 (CP)'!$K:$K,"SI")+SUMIFS('Cuadro 27 (CP)'!$F:$F,'Cuadro 27 (CP)'!$D:$D,Resumen!$AE16,'Cuadro 27 (CP)'!$J:$J,Resumen!AG$2,'Cuadro 27 (CP)'!$K:$K,"SI")</f>
        <v>0.1</v>
      </c>
      <c r="AG16" s="203">
        <f>+SUMIFS('Cuadro 27 (CP)'!$F:$F,'Cuadro 27 (CP)'!$A:$A,Resumen!$AE16,'Cuadro 27 (CP)'!$J:$J,Resumen!AG$2,'Cuadro 27 (CP)'!$K:$K,"SI")+SUMIFS('Cuadro 27 (CP)'!$F:$F,'Cuadro 27 (CP)'!$D:$D,Resumen!$AE16,'Cuadro 27 (CP)'!$J:$J,Resumen!AF$2,'Cuadro 27 (CP)'!$K:$K,"SI")</f>
        <v>0</v>
      </c>
      <c r="AH16" s="203">
        <f t="shared" si="2"/>
        <v>0.1</v>
      </c>
      <c r="AI16" s="202">
        <f t="shared" si="1"/>
        <v>2.6714803180023312E-6</v>
      </c>
    </row>
    <row r="17" spans="1:35" x14ac:dyDescent="0.25">
      <c r="A17">
        <v>15</v>
      </c>
      <c r="B17" s="144" t="s">
        <v>282</v>
      </c>
      <c r="C17" s="145">
        <f>+SUMIFS('Cuadro 2 (columna AD-AC)'!$K:$K,'Cuadro 2 (columna AD-AC)'!$C:$C,Resumen!$A17,'Cuadro 2 (columna AD-AC)'!$G:$G,"HABITAT",'Cuadro 2 (columna AD-AC)'!$D:$D,Resumen!$B17)</f>
        <v>0.19</v>
      </c>
      <c r="E17" s="199" t="s">
        <v>228</v>
      </c>
      <c r="F17" s="145">
        <f>+SUMIFS('Cuadro 3'!$D:$D,'Cuadro 3'!$A:$A,Resumen!$E17)</f>
        <v>1.08</v>
      </c>
      <c r="H17" s="147" t="s">
        <v>172</v>
      </c>
      <c r="I17" s="145">
        <f>+SUMIFS('Cuadro 7'!$G:$G,'Cuadro 7'!$A:$A,Resumen!$H17)</f>
        <v>0</v>
      </c>
      <c r="K17" s="147" t="s">
        <v>77</v>
      </c>
      <c r="L17" s="153" t="s">
        <v>56</v>
      </c>
      <c r="M17" s="58">
        <f>+SUMIFS('Cuadro 4'!$D:$D,'Cuadro 4'!$A:$A,Resumen!$K17,'Cuadro 4'!$O:$O,Resumen!$L17)</f>
        <v>12.9</v>
      </c>
      <c r="AA17" s="139" t="s">
        <v>367</v>
      </c>
      <c r="AB17">
        <f>+VLOOKUP($AA17,'Cuadro 22 (D)'!$A:$C,3,FALSE)</f>
        <v>2.15</v>
      </c>
      <c r="AC17" s="60">
        <f t="shared" si="0"/>
        <v>5.7436826837050118E-5</v>
      </c>
      <c r="AE17" s="139" t="s">
        <v>367</v>
      </c>
      <c r="AF17" s="203">
        <f>+SUMIFS('Cuadro 27 (CP)'!$F:$F,'Cuadro 27 (CP)'!$A:$A,Resumen!$AE17,'Cuadro 27 (CP)'!$J:$J,Resumen!AF$2,'Cuadro 27 (CP)'!$K:$K,"SI")+SUMIFS('Cuadro 27 (CP)'!$F:$F,'Cuadro 27 (CP)'!$D:$D,Resumen!$AE17,'Cuadro 27 (CP)'!$J:$J,Resumen!AG$2,'Cuadro 27 (CP)'!$K:$K,"SI")</f>
        <v>0</v>
      </c>
      <c r="AG17" s="203">
        <f>+SUMIFS('Cuadro 27 (CP)'!$F:$F,'Cuadro 27 (CP)'!$A:$A,Resumen!$AE17,'Cuadro 27 (CP)'!$J:$J,Resumen!AG$2,'Cuadro 27 (CP)'!$K:$K,"SI")+SUMIFS('Cuadro 27 (CP)'!$F:$F,'Cuadro 27 (CP)'!$D:$D,Resumen!$AE17,'Cuadro 27 (CP)'!$J:$J,Resumen!AF$2,'Cuadro 27 (CP)'!$K:$K,"SI")</f>
        <v>0</v>
      </c>
      <c r="AH17" s="203">
        <f t="shared" si="2"/>
        <v>0</v>
      </c>
      <c r="AI17" s="202">
        <f t="shared" si="1"/>
        <v>0</v>
      </c>
    </row>
    <row r="18" spans="1:35" x14ac:dyDescent="0.25">
      <c r="A18">
        <v>16</v>
      </c>
      <c r="B18" s="143" t="s">
        <v>283</v>
      </c>
      <c r="C18" s="145">
        <f>+SUMIFS('Cuadro 2 (columna AD-AC)'!$K:$K,'Cuadro 2 (columna AD-AC)'!$C:$C,Resumen!$A18,'Cuadro 2 (columna AD-AC)'!$G:$G,"HABITAT",'Cuadro 2 (columna AD-AC)'!$D:$D,Resumen!$B18)</f>
        <v>0.01</v>
      </c>
      <c r="E18" s="147" t="s">
        <v>71</v>
      </c>
      <c r="F18" s="145">
        <f>+SUMIFS('Cuadro 3'!$D:$D,'Cuadro 3'!$A:$A,Resumen!$E18)</f>
        <v>16.14</v>
      </c>
      <c r="H18" s="147" t="s">
        <v>65</v>
      </c>
      <c r="I18" s="145">
        <f>+SUMIFS('Cuadro 7'!$G:$G,'Cuadro 7'!$A:$A,Resumen!$H18)</f>
        <v>1218</v>
      </c>
      <c r="K18" s="147" t="s">
        <v>79</v>
      </c>
      <c r="L18" s="153" t="s">
        <v>58</v>
      </c>
      <c r="M18" s="58">
        <f>+SUMIFS('Cuadro 4'!$D:$D,'Cuadro 4'!$A:$A,Resumen!$K18,'Cuadro 4'!$O:$O,Resumen!$L18)</f>
        <v>19.489999999999998</v>
      </c>
      <c r="N18">
        <f>+(M18*I11+M7*I4)/(M7+M18)</f>
        <v>3845.0049561570722</v>
      </c>
      <c r="O18" s="153" t="s">
        <v>334</v>
      </c>
      <c r="P18">
        <f>+SUMIFS('Cuadro 2 (columna AD-AC)'!$J:$J,'Cuadro 2 (columna AD-AC)'!$D:$D,"TOTAL ACTIVOS",'Cuadro 2 (columna AD-AC)'!$G:$G,"HABITAT")</f>
        <v>37432.43</v>
      </c>
      <c r="S18" s="60"/>
      <c r="AA18" s="137" t="s">
        <v>355</v>
      </c>
      <c r="AB18">
        <f>+VLOOKUP($AA18,'Cuadro 22 (D)'!$A:$C,3,FALSE)</f>
        <v>643.36</v>
      </c>
      <c r="AC18" s="60">
        <f t="shared" si="0"/>
        <v>1.7187235773899797E-2</v>
      </c>
      <c r="AE18" s="137" t="s">
        <v>355</v>
      </c>
      <c r="AF18" s="203">
        <f>+SUMIFS('Cuadro 27 (CP)'!$F:$F,'Cuadro 27 (CP)'!$A:$A,Resumen!$AE18,'Cuadro 27 (CP)'!$J:$J,Resumen!AF$2,'Cuadro 27 (CP)'!$K:$K,"SI")+SUMIFS('Cuadro 27 (CP)'!$F:$F,'Cuadro 27 (CP)'!$D:$D,Resumen!$AE18,'Cuadro 27 (CP)'!$J:$J,Resumen!AG$2,'Cuadro 27 (CP)'!$K:$K,"SI")</f>
        <v>262.40999999999997</v>
      </c>
      <c r="AG18" s="203">
        <f>+SUMIFS('Cuadro 27 (CP)'!$F:$F,'Cuadro 27 (CP)'!$A:$A,Resumen!$AE18,'Cuadro 27 (CP)'!$J:$J,Resumen!AG$2,'Cuadro 27 (CP)'!$K:$K,"SI")+SUMIFS('Cuadro 27 (CP)'!$F:$F,'Cuadro 27 (CP)'!$D:$D,Resumen!$AE18,'Cuadro 27 (CP)'!$J:$J,Resumen!AF$2,'Cuadro 27 (CP)'!$K:$K,"SI")</f>
        <v>646.74</v>
      </c>
      <c r="AH18" s="203">
        <f t="shared" si="2"/>
        <v>-384.33000000000004</v>
      </c>
      <c r="AI18" s="202">
        <f t="shared" si="1"/>
        <v>-1.026730030617836E-2</v>
      </c>
    </row>
    <row r="19" spans="1:35" x14ac:dyDescent="0.25">
      <c r="A19">
        <v>17</v>
      </c>
      <c r="B19" s="142" t="s">
        <v>13</v>
      </c>
      <c r="C19" s="145">
        <f>+SUMIFS('Cuadro 2 (columna AD-AC)'!$K:$K,'Cuadro 2 (columna AD-AC)'!$C:$C,Resumen!$A19,'Cuadro 2 (columna AD-AC)'!$G:$G,"HABITAT",'Cuadro 2 (columna AD-AC)'!$D:$D,Resumen!$B19)</f>
        <v>10.39</v>
      </c>
      <c r="E19" s="147" t="s">
        <v>153</v>
      </c>
      <c r="F19" s="145">
        <f>+SUMIFS('Cuadro 3'!$D:$D,'Cuadro 3'!$A:$A,Resumen!$E19)</f>
        <v>0.04</v>
      </c>
      <c r="H19" s="147" t="s">
        <v>85</v>
      </c>
      <c r="I19" s="145">
        <f>+SUMIFS('Cuadro 7'!$G:$G,'Cuadro 7'!$A:$A,Resumen!$H19)</f>
        <v>3342</v>
      </c>
      <c r="K19" s="147" t="s">
        <v>81</v>
      </c>
      <c r="L19" s="153" t="s">
        <v>58</v>
      </c>
      <c r="M19" s="58">
        <f>+SUMIFS('Cuadro 4'!$D:$D,'Cuadro 4'!$A:$A,Resumen!$K19,'Cuadro 4'!$O:$O,Resumen!$L19)</f>
        <v>0.02</v>
      </c>
      <c r="N19">
        <f>+N18/365</f>
        <v>10.534260153854992</v>
      </c>
      <c r="Q19" s="184"/>
      <c r="R19" s="186"/>
      <c r="S19" s="186"/>
      <c r="AA19" s="139" t="s">
        <v>368</v>
      </c>
      <c r="AB19">
        <f>+VLOOKUP($AA19,'Cuadro 22 (D)'!$A:$C,3,FALSE)</f>
        <v>7.0000000000000007E-2</v>
      </c>
      <c r="AC19" s="60">
        <f t="shared" si="0"/>
        <v>1.870036222601632E-6</v>
      </c>
      <c r="AE19" s="139" t="s">
        <v>368</v>
      </c>
      <c r="AF19" s="203">
        <f>+SUMIFS('Cuadro 27 (CP)'!$F:$F,'Cuadro 27 (CP)'!$A:$A,Resumen!$AE19,'Cuadro 27 (CP)'!$J:$J,Resumen!AF$2,'Cuadro 27 (CP)'!$K:$K,"SI")+SUMIFS('Cuadro 27 (CP)'!$F:$F,'Cuadro 27 (CP)'!$D:$D,Resumen!$AE19,'Cuadro 27 (CP)'!$J:$J,Resumen!AG$2,'Cuadro 27 (CP)'!$K:$K,"SI")</f>
        <v>4</v>
      </c>
      <c r="AG19" s="203">
        <f>+SUMIFS('Cuadro 27 (CP)'!$F:$F,'Cuadro 27 (CP)'!$A:$A,Resumen!$AE19,'Cuadro 27 (CP)'!$J:$J,Resumen!AG$2,'Cuadro 27 (CP)'!$K:$K,"SI")+SUMIFS('Cuadro 27 (CP)'!$F:$F,'Cuadro 27 (CP)'!$D:$D,Resumen!$AE19,'Cuadro 27 (CP)'!$J:$J,Resumen!AF$2,'Cuadro 27 (CP)'!$K:$K,"SI")</f>
        <v>0.28999999999999998</v>
      </c>
      <c r="AH19" s="203">
        <f t="shared" si="2"/>
        <v>3.71</v>
      </c>
      <c r="AI19" s="202">
        <f t="shared" si="1"/>
        <v>9.9111919797886477E-5</v>
      </c>
    </row>
    <row r="20" spans="1:35" x14ac:dyDescent="0.25">
      <c r="A20">
        <v>18</v>
      </c>
      <c r="B20" s="143" t="s">
        <v>270</v>
      </c>
      <c r="C20" s="145">
        <f>+SUMIFS('Cuadro 2 (columna AD-AC)'!$K:$K,'Cuadro 2 (columna AD-AC)'!$C:$C,Resumen!$A20,'Cuadro 2 (columna AD-AC)'!$G:$G,"HABITAT",'Cuadro 2 (columna AD-AC)'!$D:$D,Resumen!$B20)</f>
        <v>1.56</v>
      </c>
      <c r="E20" s="147" t="s">
        <v>75</v>
      </c>
      <c r="F20" s="145">
        <f>+SUMIFS('Cuadro 3'!$D:$D,'Cuadro 3'!$A:$A,Resumen!$E20)</f>
        <v>2.08</v>
      </c>
      <c r="H20" s="148" t="s">
        <v>43</v>
      </c>
      <c r="I20" s="145">
        <f>+SUMIFS('Cuadro 7'!$G:$G,'Cuadro 7'!$A:$A,Resumen!$H20)</f>
        <v>3325</v>
      </c>
      <c r="K20" s="147" t="s">
        <v>83</v>
      </c>
      <c r="L20" s="153" t="s">
        <v>58</v>
      </c>
      <c r="M20" s="58">
        <f>+SUMIFS('Cuadro 4'!$D:$D,'Cuadro 4'!$A:$A,Resumen!$K20,'Cuadro 4'!$O:$O,Resumen!$L20)</f>
        <v>0.01</v>
      </c>
      <c r="Q20" s="184"/>
      <c r="R20" s="186"/>
      <c r="AA20" s="137" t="s">
        <v>369</v>
      </c>
      <c r="AB20">
        <f>+VLOOKUP($AA20,'Cuadro 22 (D)'!$A:$C,3,FALSE)</f>
        <v>4.75</v>
      </c>
      <c r="AC20" s="60">
        <f t="shared" si="0"/>
        <v>1.2689531510511073E-4</v>
      </c>
      <c r="AE20" s="137" t="s">
        <v>369</v>
      </c>
      <c r="AF20" s="203">
        <f>+SUMIFS('Cuadro 27 (CP)'!$F:$F,'Cuadro 27 (CP)'!$A:$A,Resumen!$AE20,'Cuadro 27 (CP)'!$J:$J,Resumen!AF$2,'Cuadro 27 (CP)'!$K:$K,"SI")+SUMIFS('Cuadro 27 (CP)'!$F:$F,'Cuadro 27 (CP)'!$D:$D,Resumen!$AE20,'Cuadro 27 (CP)'!$J:$J,Resumen!AG$2,'Cuadro 27 (CP)'!$K:$K,"SI")</f>
        <v>65.41</v>
      </c>
      <c r="AG20" s="203">
        <f>+SUMIFS('Cuadro 27 (CP)'!$F:$F,'Cuadro 27 (CP)'!$A:$A,Resumen!$AE20,'Cuadro 27 (CP)'!$J:$J,Resumen!AG$2,'Cuadro 27 (CP)'!$K:$K,"SI")+SUMIFS('Cuadro 27 (CP)'!$F:$F,'Cuadro 27 (CP)'!$D:$D,Resumen!$AE20,'Cuadro 27 (CP)'!$J:$J,Resumen!AF$2,'Cuadro 27 (CP)'!$K:$K,"SI")</f>
        <v>14.899999999999999</v>
      </c>
      <c r="AH20" s="203">
        <f t="shared" si="2"/>
        <v>50.51</v>
      </c>
      <c r="AI20" s="202">
        <f t="shared" si="1"/>
        <v>1.3493647086229774E-3</v>
      </c>
    </row>
    <row r="21" spans="1:35" x14ac:dyDescent="0.25">
      <c r="A21">
        <v>19</v>
      </c>
      <c r="B21" s="144" t="s">
        <v>284</v>
      </c>
      <c r="C21" s="145">
        <f>+SUMIFS('Cuadro 2 (columna AD-AC)'!$K:$K,'Cuadro 2 (columna AD-AC)'!$C:$C,Resumen!$A21,'Cuadro 2 (columna AD-AC)'!$G:$G,"HABITAT",'Cuadro 2 (columna AD-AC)'!$D:$D,Resumen!$B21)</f>
        <v>0</v>
      </c>
      <c r="E21" s="147" t="s">
        <v>87</v>
      </c>
      <c r="F21" s="145">
        <f>+SUMIFS('Cuadro 3'!$D:$D,'Cuadro 3'!$A:$A,Resumen!$E21)</f>
        <v>19.09</v>
      </c>
      <c r="H21" s="147" t="s">
        <v>71</v>
      </c>
      <c r="I21" s="145">
        <f>+SUMIFS('Cuadro 7'!$G:$G,'Cuadro 7'!$A:$A,Resumen!$H21)</f>
        <v>2294</v>
      </c>
      <c r="K21" s="147" t="s">
        <v>85</v>
      </c>
      <c r="L21" s="153" t="s">
        <v>56</v>
      </c>
      <c r="M21" s="58">
        <f>+SUMIFS('Cuadro 4'!$D:$D,'Cuadro 4'!$A:$A,Resumen!$K21,'Cuadro 4'!$O:$O,Resumen!$L21)</f>
        <v>0.17</v>
      </c>
      <c r="O21" s="145" t="s">
        <v>405</v>
      </c>
      <c r="Q21" s="184"/>
      <c r="R21" s="186"/>
      <c r="T21" s="57"/>
      <c r="AA21" s="139" t="s">
        <v>370</v>
      </c>
      <c r="AB21">
        <f>+VLOOKUP($AA21,'Cuadro 22 (D)'!$A:$C,3,FALSE)</f>
        <v>0</v>
      </c>
      <c r="AC21" s="60">
        <f t="shared" si="0"/>
        <v>0</v>
      </c>
      <c r="AE21" s="139" t="s">
        <v>370</v>
      </c>
      <c r="AF21" s="203">
        <f>+SUMIFS('Cuadro 27 (CP)'!$F:$F,'Cuadro 27 (CP)'!$A:$A,Resumen!$AE21,'Cuadro 27 (CP)'!$J:$J,Resumen!AF$2,'Cuadro 27 (CP)'!$K:$K,"SI")+SUMIFS('Cuadro 27 (CP)'!$F:$F,'Cuadro 27 (CP)'!$D:$D,Resumen!$AE21,'Cuadro 27 (CP)'!$J:$J,Resumen!AG$2,'Cuadro 27 (CP)'!$K:$K,"SI")</f>
        <v>0</v>
      </c>
      <c r="AG21" s="203">
        <f>+SUMIFS('Cuadro 27 (CP)'!$F:$F,'Cuadro 27 (CP)'!$A:$A,Resumen!$AE21,'Cuadro 27 (CP)'!$J:$J,Resumen!AG$2,'Cuadro 27 (CP)'!$K:$K,"SI")+SUMIFS('Cuadro 27 (CP)'!$F:$F,'Cuadro 27 (CP)'!$D:$D,Resumen!$AE21,'Cuadro 27 (CP)'!$J:$J,Resumen!AF$2,'Cuadro 27 (CP)'!$K:$K,"SI")</f>
        <v>0</v>
      </c>
      <c r="AH21" s="203">
        <f t="shared" si="2"/>
        <v>0</v>
      </c>
      <c r="AI21" s="202">
        <f t="shared" si="1"/>
        <v>0</v>
      </c>
    </row>
    <row r="22" spans="1:35" x14ac:dyDescent="0.25">
      <c r="A22">
        <v>20</v>
      </c>
      <c r="B22" s="144" t="s">
        <v>285</v>
      </c>
      <c r="C22" s="145">
        <f>+SUMIFS('Cuadro 2 (columna AD-AC)'!$K:$K,'Cuadro 2 (columna AD-AC)'!$C:$C,Resumen!$A22,'Cuadro 2 (columna AD-AC)'!$G:$G,"HABITAT",'Cuadro 2 (columna AD-AC)'!$D:$D,Resumen!$B22)</f>
        <v>1.56</v>
      </c>
      <c r="E22" s="147" t="s">
        <v>93</v>
      </c>
      <c r="F22" s="145">
        <f>+SUMIFS('Cuadro 3'!$D:$D,'Cuadro 3'!$A:$A,Resumen!$E22)</f>
        <v>0.31</v>
      </c>
      <c r="H22" s="147" t="s">
        <v>153</v>
      </c>
      <c r="I22" s="145">
        <f>+SUMIFS('Cuadro 7'!$G:$G,'Cuadro 7'!$A:$A,Resumen!$H22)</f>
        <v>2107</v>
      </c>
      <c r="K22" s="147" t="s">
        <v>85</v>
      </c>
      <c r="L22" s="153" t="s">
        <v>58</v>
      </c>
      <c r="M22" s="58">
        <f>+SUMIFS('Cuadro 4'!$D:$D,'Cuadro 4'!$A:$A,Resumen!$K22,'Cuadro 4'!$O:$O,Resumen!$L22)</f>
        <v>5.56</v>
      </c>
      <c r="O22" s="139" t="s">
        <v>351</v>
      </c>
      <c r="P22" s="60">
        <f>+IFERROR(VLOOKUP($O22,$W$3:$Y$7,3,FALSE)/100,0)+IFERROR(VLOOKUP($O22,$AA$3:$AC$36,3,FALSE),0)+IFERROR(VLOOKUP($O22,$AE$3:$AI$35,5,FALSE),0)</f>
        <v>0.29387093082121568</v>
      </c>
      <c r="Q22" s="184"/>
      <c r="R22" s="186"/>
      <c r="T22" s="12"/>
      <c r="AA22" s="137" t="s">
        <v>371</v>
      </c>
      <c r="AB22">
        <f>+VLOOKUP($AA22,'Cuadro 22 (D)'!$A:$C,3,FALSE)</f>
        <v>0.04</v>
      </c>
      <c r="AC22" s="60">
        <f t="shared" si="0"/>
        <v>1.0685921272009325E-6</v>
      </c>
      <c r="AE22" s="137" t="s">
        <v>371</v>
      </c>
      <c r="AF22" s="203">
        <f>+SUMIFS('Cuadro 27 (CP)'!$F:$F,'Cuadro 27 (CP)'!$A:$A,Resumen!$AE22,'Cuadro 27 (CP)'!$J:$J,Resumen!AF$2,'Cuadro 27 (CP)'!$K:$K,"SI")+SUMIFS('Cuadro 27 (CP)'!$F:$F,'Cuadro 27 (CP)'!$D:$D,Resumen!$AE22,'Cuadro 27 (CP)'!$J:$J,Resumen!AG$2,'Cuadro 27 (CP)'!$K:$K,"SI")</f>
        <v>6.11</v>
      </c>
      <c r="AG22" s="203">
        <f>+SUMIFS('Cuadro 27 (CP)'!$F:$F,'Cuadro 27 (CP)'!$A:$A,Resumen!$AE22,'Cuadro 27 (CP)'!$J:$J,Resumen!AG$2,'Cuadro 27 (CP)'!$K:$K,"SI")+SUMIFS('Cuadro 27 (CP)'!$F:$F,'Cuadro 27 (CP)'!$D:$D,Resumen!$AE22,'Cuadro 27 (CP)'!$J:$J,Resumen!AF$2,'Cuadro 27 (CP)'!$K:$K,"SI")</f>
        <v>0</v>
      </c>
      <c r="AH22" s="203">
        <f t="shared" si="2"/>
        <v>6.11</v>
      </c>
      <c r="AI22" s="202">
        <f t="shared" si="1"/>
        <v>1.6322744742994244E-4</v>
      </c>
    </row>
    <row r="23" spans="1:35" x14ac:dyDescent="0.25">
      <c r="A23">
        <v>21</v>
      </c>
      <c r="B23" s="143" t="s">
        <v>272</v>
      </c>
      <c r="C23" s="145">
        <f>+SUMIFS('Cuadro 2 (columna AD-AC)'!$K:$K,'Cuadro 2 (columna AD-AC)'!$C:$C,Resumen!$A23,'Cuadro 2 (columna AD-AC)'!$G:$G,"HABITAT",'Cuadro 2 (columna AD-AC)'!$D:$D,Resumen!$B23)</f>
        <v>8.76</v>
      </c>
      <c r="E23" s="147" t="s">
        <v>229</v>
      </c>
      <c r="F23" s="145">
        <f>+SUMIFS('Cuadro 3'!$D:$D,'Cuadro 3'!$A:$A,Resumen!$E23)</f>
        <v>0.01</v>
      </c>
      <c r="H23" s="147" t="s">
        <v>75</v>
      </c>
      <c r="I23" s="145">
        <f>+SUMIFS('Cuadro 7'!$G:$G,'Cuadro 7'!$A:$A,Resumen!$H23)</f>
        <v>4167</v>
      </c>
      <c r="K23" s="147" t="s">
        <v>85</v>
      </c>
      <c r="L23" s="153" t="s">
        <v>57</v>
      </c>
      <c r="M23" s="58">
        <f>+SUMIFS('Cuadro 4'!$D:$D,'Cuadro 4'!$A:$A,Resumen!$K23,'Cuadro 4'!$O:$O,Resumen!$L23)</f>
        <v>1.38</v>
      </c>
      <c r="O23" s="137" t="s">
        <v>352</v>
      </c>
      <c r="P23" s="60">
        <f t="shared" ref="P23:P24" si="4">+IFERROR(VLOOKUP($O23,$W$3:$Y$7,3,FALSE)/100,0)+IFERROR(VLOOKUP($O23,$AA$3:$AC$36,3,FALSE),0)+IFERROR(VLOOKUP($O23,$AE$3:$AI$35,5,FALSE),0)</f>
        <v>0.63747367202716998</v>
      </c>
      <c r="Q23" s="184"/>
      <c r="R23" s="186"/>
      <c r="AA23" s="139" t="s">
        <v>372</v>
      </c>
      <c r="AB23">
        <f>+VLOOKUP($AA23,'Cuadro 22 (D)'!$A:$C,3,FALSE)</f>
        <v>0</v>
      </c>
      <c r="AC23" s="60">
        <f t="shared" si="0"/>
        <v>0</v>
      </c>
      <c r="AE23" s="139" t="s">
        <v>372</v>
      </c>
      <c r="AF23" s="203">
        <f>+SUMIFS('Cuadro 27 (CP)'!$F:$F,'Cuadro 27 (CP)'!$A:$A,Resumen!$AE23,'Cuadro 27 (CP)'!$J:$J,Resumen!AF$2,'Cuadro 27 (CP)'!$K:$K,"SI")+SUMIFS('Cuadro 27 (CP)'!$F:$F,'Cuadro 27 (CP)'!$D:$D,Resumen!$AE23,'Cuadro 27 (CP)'!$J:$J,Resumen!AG$2,'Cuadro 27 (CP)'!$K:$K,"SI")</f>
        <v>0.5</v>
      </c>
      <c r="AG23" s="203">
        <f>+SUMIFS('Cuadro 27 (CP)'!$F:$F,'Cuadro 27 (CP)'!$A:$A,Resumen!$AE23,'Cuadro 27 (CP)'!$J:$J,Resumen!AG$2,'Cuadro 27 (CP)'!$K:$K,"SI")+SUMIFS('Cuadro 27 (CP)'!$F:$F,'Cuadro 27 (CP)'!$D:$D,Resumen!$AE23,'Cuadro 27 (CP)'!$J:$J,Resumen!AF$2,'Cuadro 27 (CP)'!$K:$K,"SI")</f>
        <v>0</v>
      </c>
      <c r="AH23" s="203">
        <f t="shared" si="2"/>
        <v>0.5</v>
      </c>
      <c r="AI23" s="202">
        <f t="shared" si="1"/>
        <v>1.3357401590011656E-5</v>
      </c>
    </row>
    <row r="24" spans="1:35" x14ac:dyDescent="0.25">
      <c r="A24">
        <v>22</v>
      </c>
      <c r="B24" s="144" t="s">
        <v>282</v>
      </c>
      <c r="C24" s="145">
        <f>+SUMIFS('Cuadro 2 (columna AD-AC)'!$K:$K,'Cuadro 2 (columna AD-AC)'!$C:$C,Resumen!$A24,'Cuadro 2 (columna AD-AC)'!$G:$G,"HABITAT",'Cuadro 2 (columna AD-AC)'!$D:$D,Resumen!$B24)</f>
        <v>7.0000000000000007E-2</v>
      </c>
      <c r="E24" s="147" t="s">
        <v>230</v>
      </c>
      <c r="F24" s="145">
        <f>+SUMIFS('Cuadro 3'!$D:$D,'Cuadro 3'!$A:$A,Resumen!$E24)</f>
        <v>0.18</v>
      </c>
      <c r="H24" s="147" t="s">
        <v>87</v>
      </c>
      <c r="I24" s="145">
        <f>+SUMIFS('Cuadro 7'!$G:$G,'Cuadro 7'!$A:$A,Resumen!$H24)</f>
        <v>214</v>
      </c>
      <c r="K24" s="147" t="s">
        <v>93</v>
      </c>
      <c r="L24" s="153" t="s">
        <v>58</v>
      </c>
      <c r="M24" s="58">
        <f>+SUMIFS('Cuadro 4'!$D:$D,'Cuadro 4'!$A:$A,Resumen!$K24,'Cuadro 4'!$O:$O,Resumen!$L24)</f>
        <v>0.31</v>
      </c>
      <c r="O24" s="137" t="s">
        <v>347</v>
      </c>
      <c r="P24" s="60">
        <f t="shared" si="4"/>
        <v>5.4895995183855253E-2</v>
      </c>
      <c r="Q24" s="189"/>
      <c r="R24" s="186"/>
      <c r="AA24" s="137" t="s">
        <v>373</v>
      </c>
      <c r="AB24">
        <f>+VLOOKUP($AA24,'Cuadro 22 (D)'!$A:$C,3,FALSE)</f>
        <v>0</v>
      </c>
      <c r="AC24" s="60">
        <f t="shared" si="0"/>
        <v>0</v>
      </c>
      <c r="AE24" s="137" t="s">
        <v>373</v>
      </c>
      <c r="AF24" s="203">
        <f>+SUMIFS('Cuadro 27 (CP)'!$F:$F,'Cuadro 27 (CP)'!$A:$A,Resumen!$AE24,'Cuadro 27 (CP)'!$J:$J,Resumen!AF$2,'Cuadro 27 (CP)'!$K:$K,"SI")+SUMIFS('Cuadro 27 (CP)'!$F:$F,'Cuadro 27 (CP)'!$D:$D,Resumen!$AE24,'Cuadro 27 (CP)'!$J:$J,Resumen!AG$2,'Cuadro 27 (CP)'!$K:$K,"SI")</f>
        <v>0.1</v>
      </c>
      <c r="AG24" s="203">
        <f>+SUMIFS('Cuadro 27 (CP)'!$F:$F,'Cuadro 27 (CP)'!$A:$A,Resumen!$AE24,'Cuadro 27 (CP)'!$J:$J,Resumen!AG$2,'Cuadro 27 (CP)'!$K:$K,"SI")+SUMIFS('Cuadro 27 (CP)'!$F:$F,'Cuadro 27 (CP)'!$D:$D,Resumen!$AE24,'Cuadro 27 (CP)'!$J:$J,Resumen!AF$2,'Cuadro 27 (CP)'!$K:$K,"SI")</f>
        <v>0</v>
      </c>
      <c r="AH24" s="203">
        <f t="shared" si="2"/>
        <v>0.1</v>
      </c>
      <c r="AI24" s="202">
        <f t="shared" si="1"/>
        <v>2.6714803180023312E-6</v>
      </c>
    </row>
    <row r="25" spans="1:35" x14ac:dyDescent="0.25">
      <c r="A25">
        <v>23</v>
      </c>
      <c r="B25" s="143" t="s">
        <v>286</v>
      </c>
      <c r="C25" s="145">
        <f>+SUMIFS('Cuadro 2 (columna AD-AC)'!$K:$K,'Cuadro 2 (columna AD-AC)'!$C:$C,Resumen!$A25,'Cuadro 2 (columna AD-AC)'!$G:$G,"HABITAT",'Cuadro 2 (columna AD-AC)'!$D:$D,Resumen!$B25)</f>
        <v>0</v>
      </c>
      <c r="E25" s="148" t="s">
        <v>48</v>
      </c>
      <c r="F25" s="145">
        <f>+SUMIFS('Cuadro 3'!$D:$D,'Cuadro 3'!$A:$A,Resumen!$E25)</f>
        <v>38.049999999999997</v>
      </c>
      <c r="H25" s="147" t="s">
        <v>93</v>
      </c>
      <c r="I25" s="145">
        <f>+SUMIFS('Cuadro 7'!$G:$G,'Cuadro 7'!$A:$A,Resumen!$H25)</f>
        <v>1461</v>
      </c>
      <c r="K25" s="147" t="s">
        <v>97</v>
      </c>
      <c r="L25" s="153" t="s">
        <v>58</v>
      </c>
      <c r="M25" s="58">
        <f>+SUMIFS('Cuadro 4'!$D:$D,'Cuadro 4'!$A:$A,Resumen!$K25,'Cuadro 4'!$O:$O,Resumen!$L25)</f>
        <v>0</v>
      </c>
      <c r="O25" s="137" t="s">
        <v>356</v>
      </c>
      <c r="P25" s="60">
        <f>+IFERROR(VLOOKUP($O25,$W$3:$Y$7,3,FALSE)/100,0)+IFERROR(VLOOKUP($O25,$AA$3:$AC$36,3,FALSE),0)+IFERROR(VLOOKUP($O25,$AE$3:$AI$35,5,FALSE),0)</f>
        <v>8.8158850494076931E-6</v>
      </c>
      <c r="Q25" s="184"/>
      <c r="R25" s="186"/>
      <c r="AA25" s="139" t="s">
        <v>353</v>
      </c>
      <c r="AB25">
        <f>+VLOOKUP($AA25,'Cuadro 22 (D)'!$A:$C,3,FALSE)</f>
        <v>0.94</v>
      </c>
      <c r="AC25" s="60">
        <f t="shared" si="0"/>
        <v>2.5111914989221913E-5</v>
      </c>
      <c r="AE25" s="139" t="s">
        <v>353</v>
      </c>
      <c r="AF25" s="203">
        <f>+SUMIFS('Cuadro 27 (CP)'!$F:$F,'Cuadro 27 (CP)'!$A:$A,Resumen!$AE25,'Cuadro 27 (CP)'!$J:$J,Resumen!AF$2,'Cuadro 27 (CP)'!$K:$K,"SI")+SUMIFS('Cuadro 27 (CP)'!$F:$F,'Cuadro 27 (CP)'!$D:$D,Resumen!$AE25,'Cuadro 27 (CP)'!$J:$J,Resumen!AG$2,'Cuadro 27 (CP)'!$K:$K,"SI")</f>
        <v>79.31</v>
      </c>
      <c r="AG25" s="203">
        <f>+SUMIFS('Cuadro 27 (CP)'!$F:$F,'Cuadro 27 (CP)'!$A:$A,Resumen!$AE25,'Cuadro 27 (CP)'!$J:$J,Resumen!AG$2,'Cuadro 27 (CP)'!$K:$K,"SI")+SUMIFS('Cuadro 27 (CP)'!$F:$F,'Cuadro 27 (CP)'!$D:$D,Resumen!$AE25,'Cuadro 27 (CP)'!$J:$J,Resumen!AF$2,'Cuadro 27 (CP)'!$K:$K,"SI")</f>
        <v>64.13</v>
      </c>
      <c r="AH25" s="203">
        <f t="shared" si="2"/>
        <v>15.180000000000007</v>
      </c>
      <c r="AI25" s="202">
        <f t="shared" si="1"/>
        <v>4.0553071227275404E-4</v>
      </c>
    </row>
    <row r="26" spans="1:35" x14ac:dyDescent="0.25">
      <c r="A26">
        <v>24</v>
      </c>
      <c r="B26" s="137" t="s">
        <v>16</v>
      </c>
      <c r="C26" s="149">
        <f>+SUMIFS('Cuadro 2 (columna AD-AC)'!$K:$K,'Cuadro 2 (columna AD-AC)'!$C:$C,Resumen!$A26,'Cuadro 2 (columna AD-AC)'!$G:$G,"HABITAT",'Cuadro 2 (columna AD-AC)'!$D:$D,Resumen!$B26)</f>
        <v>100</v>
      </c>
      <c r="E26" s="199" t="s">
        <v>228</v>
      </c>
      <c r="F26" s="145">
        <f>+SUMIFS('Cuadro 3'!$D:$D,'Cuadro 3'!$A:$A,Resumen!$E26)</f>
        <v>1.08</v>
      </c>
      <c r="H26" s="148" t="s">
        <v>48</v>
      </c>
      <c r="I26" s="145">
        <f>+SUMIFS('Cuadro 7'!$G:$G,'Cuadro 7'!$A:$A,Resumen!$H26)</f>
        <v>1336</v>
      </c>
      <c r="K26" s="156" t="s">
        <v>331</v>
      </c>
      <c r="L26" s="153"/>
      <c r="M26" s="58"/>
      <c r="O26" s="139" t="s">
        <v>357</v>
      </c>
      <c r="P26" s="60">
        <f t="shared" ref="P26:P56" si="5">+IFERROR(VLOOKUP($O26,$W$3:$Y$7,3,FALSE)/100,0)+IFERROR(VLOOKUP($O26,$AA$3:$AC$36,3,FALSE),0)+IFERROR(VLOOKUP($O26,$AE$3:$AI$35,5,FALSE),0)</f>
        <v>5.3429606360046623E-6</v>
      </c>
      <c r="Q26" s="185"/>
      <c r="R26" s="186"/>
      <c r="AA26" s="137" t="s">
        <v>374</v>
      </c>
      <c r="AB26">
        <f>+VLOOKUP($AA26,'Cuadro 22 (D)'!$A:$C,3,FALSE)</f>
        <v>0</v>
      </c>
      <c r="AC26" s="60">
        <f t="shared" si="0"/>
        <v>0</v>
      </c>
      <c r="AE26" s="137" t="s">
        <v>374</v>
      </c>
      <c r="AF26" s="203">
        <f>+SUMIFS('Cuadro 27 (CP)'!$F:$F,'Cuadro 27 (CP)'!$A:$A,Resumen!$AE26,'Cuadro 27 (CP)'!$J:$J,Resumen!AF$2,'Cuadro 27 (CP)'!$K:$K,"SI")+SUMIFS('Cuadro 27 (CP)'!$F:$F,'Cuadro 27 (CP)'!$D:$D,Resumen!$AE26,'Cuadro 27 (CP)'!$J:$J,Resumen!AG$2,'Cuadro 27 (CP)'!$K:$K,"SI")</f>
        <v>1.8</v>
      </c>
      <c r="AG26" s="203">
        <f>+SUMIFS('Cuadro 27 (CP)'!$F:$F,'Cuadro 27 (CP)'!$A:$A,Resumen!$AE26,'Cuadro 27 (CP)'!$J:$J,Resumen!AG$2,'Cuadro 27 (CP)'!$K:$K,"SI")+SUMIFS('Cuadro 27 (CP)'!$F:$F,'Cuadro 27 (CP)'!$D:$D,Resumen!$AE26,'Cuadro 27 (CP)'!$J:$J,Resumen!AF$2,'Cuadro 27 (CP)'!$K:$K,"SI")</f>
        <v>0</v>
      </c>
      <c r="AH26" s="203">
        <f t="shared" si="2"/>
        <v>1.8</v>
      </c>
      <c r="AI26" s="202">
        <f t="shared" si="1"/>
        <v>4.8086645724041959E-5</v>
      </c>
    </row>
    <row r="27" spans="1:35" x14ac:dyDescent="0.25">
      <c r="A27">
        <v>25</v>
      </c>
      <c r="B27" s="137" t="s">
        <v>17</v>
      </c>
      <c r="C27" s="145">
        <f>+SUMIFS('Cuadro 2 (columna AD-AC)'!$K:$K,'Cuadro 2 (columna AD-AC)'!$C:$C,Resumen!$A27,'Cuadro 2 (columna AD-AC)'!$G:$G,"HABITAT",'Cuadro 2 (columna AD-AC)'!$D:$D,Resumen!$B27)</f>
        <v>2.64</v>
      </c>
      <c r="E27" s="200" t="s">
        <v>231</v>
      </c>
      <c r="F27" s="145">
        <f>+SUMIFS('Cuadro 3'!$D:$D,'Cuadro 3'!$A:$A,Resumen!$E27)</f>
        <v>0</v>
      </c>
      <c r="H27" s="147" t="s">
        <v>69</v>
      </c>
      <c r="I27" s="145">
        <f>+SUMIFS('Cuadro 7'!$G:$G,'Cuadro 7'!$A:$A,Resumen!$H27)</f>
        <v>2658</v>
      </c>
      <c r="K27" s="147" t="s">
        <v>87</v>
      </c>
      <c r="L27" s="153" t="s">
        <v>56</v>
      </c>
      <c r="M27" s="58">
        <f>+SUMIFS('Cuadro 4'!$D:$D,'Cuadro 4'!$A:$A,"Intermediación Financiera Nacional:DPF",'Cuadro 4'!$O:$O,Resumen!$L27)</f>
        <v>11.21</v>
      </c>
      <c r="O27" s="137" t="s">
        <v>358</v>
      </c>
      <c r="P27" s="60">
        <f t="shared" si="5"/>
        <v>-3.9244045871454246E-4</v>
      </c>
      <c r="Q27" s="184"/>
      <c r="R27" s="186"/>
      <c r="AA27" s="139" t="s">
        <v>375</v>
      </c>
      <c r="AB27">
        <f>+VLOOKUP($AA27,'Cuadro 22 (D)'!$A:$C,3,FALSE)</f>
        <v>0.14000000000000001</v>
      </c>
      <c r="AC27" s="60">
        <f t="shared" si="0"/>
        <v>3.7400724452032641E-6</v>
      </c>
      <c r="AE27" s="139" t="s">
        <v>375</v>
      </c>
      <c r="AF27" s="203">
        <f>+SUMIFS('Cuadro 27 (CP)'!$F:$F,'Cuadro 27 (CP)'!$A:$A,Resumen!$AE27,'Cuadro 27 (CP)'!$J:$J,Resumen!AF$2,'Cuadro 27 (CP)'!$K:$K,"SI")+SUMIFS('Cuadro 27 (CP)'!$F:$F,'Cuadro 27 (CP)'!$D:$D,Resumen!$AE27,'Cuadro 27 (CP)'!$J:$J,Resumen!AG$2,'Cuadro 27 (CP)'!$K:$K,"SI")</f>
        <v>0.49</v>
      </c>
      <c r="AG27" s="203">
        <f>+SUMIFS('Cuadro 27 (CP)'!$F:$F,'Cuadro 27 (CP)'!$A:$A,Resumen!$AE27,'Cuadro 27 (CP)'!$J:$J,Resumen!AG$2,'Cuadro 27 (CP)'!$K:$K,"SI")+SUMIFS('Cuadro 27 (CP)'!$F:$F,'Cuadro 27 (CP)'!$D:$D,Resumen!$AE27,'Cuadro 27 (CP)'!$J:$J,Resumen!AF$2,'Cuadro 27 (CP)'!$K:$K,"SI")</f>
        <v>0</v>
      </c>
      <c r="AH27" s="203">
        <f t="shared" si="2"/>
        <v>0.49</v>
      </c>
      <c r="AI27" s="202">
        <f t="shared" si="1"/>
        <v>1.3090253558211423E-5</v>
      </c>
    </row>
    <row r="28" spans="1:35" x14ac:dyDescent="0.25">
      <c r="A28">
        <v>26</v>
      </c>
      <c r="B28" s="137" t="s">
        <v>18</v>
      </c>
      <c r="C28" s="145">
        <f>+SUMIFS('Cuadro 2 (columna AD-AC)'!$K:$K,'Cuadro 2 (columna AD-AC)'!$C:$C,Resumen!$A28,'Cuadro 2 (columna AD-AC)'!$G:$G,"HABITAT",'Cuadro 2 (columna AD-AC)'!$D:$D,Resumen!$B28)</f>
        <v>97.08</v>
      </c>
      <c r="E28" s="147" t="s">
        <v>172</v>
      </c>
      <c r="F28" s="145">
        <f>+SUMIFS('Cuadro 3'!$D:$D,'Cuadro 3'!$A:$A,Resumen!$E28)</f>
        <v>0</v>
      </c>
      <c r="H28" s="147" t="s">
        <v>89</v>
      </c>
      <c r="I28" s="145">
        <f>+SUMIFS('Cuadro 7'!$G:$G,'Cuadro 7'!$A:$A,Resumen!$H28)</f>
        <v>1647</v>
      </c>
      <c r="K28" s="147" t="s">
        <v>87</v>
      </c>
      <c r="L28" s="153" t="s">
        <v>58</v>
      </c>
      <c r="M28" s="58">
        <f>+SUMIFS('Cuadro 4'!$D:$D,'Cuadro 4'!$A:$A,Resumen!$K28,'Cuadro 4'!$O:$O,Resumen!$L28)</f>
        <v>7.88</v>
      </c>
      <c r="O28" s="139" t="s">
        <v>359</v>
      </c>
      <c r="P28" s="60">
        <f t="shared" si="5"/>
        <v>1.4693141749012821E-5</v>
      </c>
      <c r="Q28" s="184"/>
      <c r="R28" s="186"/>
      <c r="AA28" s="137" t="s">
        <v>376</v>
      </c>
      <c r="AB28">
        <f>+VLOOKUP($AA28,'Cuadro 22 (D)'!$A:$C,3,FALSE)</f>
        <v>7.0000000000000007E-2</v>
      </c>
      <c r="AC28" s="60">
        <f t="shared" si="0"/>
        <v>1.870036222601632E-6</v>
      </c>
      <c r="AE28" s="137" t="s">
        <v>376</v>
      </c>
      <c r="AF28" s="203">
        <f>+SUMIFS('Cuadro 27 (CP)'!$F:$F,'Cuadro 27 (CP)'!$A:$A,Resumen!$AE28,'Cuadro 27 (CP)'!$J:$J,Resumen!AF$2,'Cuadro 27 (CP)'!$K:$K,"SI")+SUMIFS('Cuadro 27 (CP)'!$F:$F,'Cuadro 27 (CP)'!$D:$D,Resumen!$AE28,'Cuadro 27 (CP)'!$J:$J,Resumen!AG$2,'Cuadro 27 (CP)'!$K:$K,"SI")</f>
        <v>0.78</v>
      </c>
      <c r="AG28" s="203">
        <f>+SUMIFS('Cuadro 27 (CP)'!$F:$F,'Cuadro 27 (CP)'!$A:$A,Resumen!$AE28,'Cuadro 27 (CP)'!$J:$J,Resumen!AG$2,'Cuadro 27 (CP)'!$K:$K,"SI")+SUMIFS('Cuadro 27 (CP)'!$F:$F,'Cuadro 27 (CP)'!$D:$D,Resumen!$AE28,'Cuadro 27 (CP)'!$J:$J,Resumen!AF$2,'Cuadro 27 (CP)'!$K:$K,"SI")</f>
        <v>0</v>
      </c>
      <c r="AH28" s="203">
        <f t="shared" si="2"/>
        <v>0.78</v>
      </c>
      <c r="AI28" s="202">
        <f t="shared" si="1"/>
        <v>2.0837546480418183E-5</v>
      </c>
    </row>
    <row r="29" spans="1:35" x14ac:dyDescent="0.25">
      <c r="A29">
        <v>27</v>
      </c>
      <c r="B29" s="137" t="s">
        <v>19</v>
      </c>
      <c r="C29" s="145">
        <f>+SUMIFS('Cuadro 2 (columna AD-AC)'!$K:$K,'Cuadro 2 (columna AD-AC)'!$C:$C,Resumen!$A29,'Cuadro 2 (columna AD-AC)'!$G:$G,"HABITAT",'Cuadro 2 (columna AD-AC)'!$D:$D,Resumen!$B29)</f>
        <v>0.26</v>
      </c>
      <c r="E29" s="147" t="s">
        <v>65</v>
      </c>
      <c r="F29" s="145">
        <f>+SUMIFS('Cuadro 3'!$D:$D,'Cuadro 3'!$A:$A,Resumen!$E29)</f>
        <v>0.04</v>
      </c>
      <c r="H29" s="148" t="s">
        <v>52</v>
      </c>
      <c r="I29" s="145">
        <f>+SUMIFS('Cuadro 7'!$G:$G,'Cuadro 7'!$A:$A,Resumen!$H29)</f>
        <v>1690</v>
      </c>
      <c r="K29" s="147" t="s">
        <v>91</v>
      </c>
      <c r="L29" s="153" t="s">
        <v>56</v>
      </c>
      <c r="M29" s="58">
        <f>+SUMIFS('Cuadro 4'!$D:$D,'Cuadro 4'!$A:$A,Resumen!$K29,'Cuadro 4'!$O:$O,Resumen!$L29)</f>
        <v>0.01</v>
      </c>
      <c r="O29" s="137" t="s">
        <v>360</v>
      </c>
      <c r="P29" s="60">
        <f t="shared" si="5"/>
        <v>8.0144409540069935E-7</v>
      </c>
      <c r="Q29" s="185"/>
      <c r="AA29" s="137" t="s">
        <v>377</v>
      </c>
      <c r="AB29">
        <f>+VLOOKUP($AA29,'Cuadro 22 (D)'!$A:$C,3,FALSE)</f>
        <v>0</v>
      </c>
      <c r="AC29" s="60">
        <f t="shared" si="0"/>
        <v>0</v>
      </c>
      <c r="AE29" s="137" t="s">
        <v>377</v>
      </c>
      <c r="AF29" s="203">
        <f>+SUMIFS('Cuadro 27 (CP)'!$F:$F,'Cuadro 27 (CP)'!$A:$A,Resumen!$AE29,'Cuadro 27 (CP)'!$J:$J,Resumen!AF$2,'Cuadro 27 (CP)'!$K:$K,"SI")+SUMIFS('Cuadro 27 (CP)'!$F:$F,'Cuadro 27 (CP)'!$D:$D,Resumen!$AE29,'Cuadro 27 (CP)'!$J:$J,Resumen!AG$2,'Cuadro 27 (CP)'!$K:$K,"SI")</f>
        <v>0</v>
      </c>
      <c r="AG29" s="203">
        <f>+SUMIFS('Cuadro 27 (CP)'!$F:$F,'Cuadro 27 (CP)'!$A:$A,Resumen!$AE29,'Cuadro 27 (CP)'!$J:$J,Resumen!AG$2,'Cuadro 27 (CP)'!$K:$K,"SI")+SUMIFS('Cuadro 27 (CP)'!$F:$F,'Cuadro 27 (CP)'!$D:$D,Resumen!$AE29,'Cuadro 27 (CP)'!$J:$J,Resumen!AF$2,'Cuadro 27 (CP)'!$K:$K,"SI")</f>
        <v>0</v>
      </c>
      <c r="AH29" s="203">
        <f t="shared" si="2"/>
        <v>0</v>
      </c>
      <c r="AI29" s="202">
        <f t="shared" si="1"/>
        <v>0</v>
      </c>
    </row>
    <row r="30" spans="1:35" x14ac:dyDescent="0.25">
      <c r="A30">
        <v>28</v>
      </c>
      <c r="B30" s="137" t="s">
        <v>20</v>
      </c>
      <c r="C30" s="145">
        <f>+SUMIFS('Cuadro 2 (columna AD-AC)'!$K:$K,'Cuadro 2 (columna AD-AC)'!$C:$C,Resumen!$A30,'Cuadro 2 (columna AD-AC)'!$G:$G,"HABITAT",'Cuadro 2 (columna AD-AC)'!$D:$D,Resumen!$B30)</f>
        <v>0.01</v>
      </c>
      <c r="E30" s="147" t="s">
        <v>85</v>
      </c>
      <c r="F30" s="145">
        <f>+SUMIFS('Cuadro 3'!$D:$D,'Cuadro 3'!$A:$A,Resumen!$E30)</f>
        <v>7.12</v>
      </c>
      <c r="H30" s="148" t="s">
        <v>141</v>
      </c>
      <c r="I30" s="145">
        <f>+SUMIFS('Cuadro 7'!$G:$G,'Cuadro 7'!$A:$A,Resumen!$H30)</f>
        <v>2485</v>
      </c>
      <c r="K30" s="147" t="s">
        <v>95</v>
      </c>
      <c r="L30" s="153" t="s">
        <v>56</v>
      </c>
      <c r="M30" s="58">
        <f>+SUMIFS('Cuadro 4'!$D:$D,'Cuadro 4'!$A:$A,Resumen!$K30,'Cuadro 4'!$O:$O,Resumen!$L30)</f>
        <v>2.82</v>
      </c>
      <c r="O30" s="139" t="s">
        <v>361</v>
      </c>
      <c r="P30" s="60">
        <f t="shared" si="5"/>
        <v>1.8967510257816549E-5</v>
      </c>
      <c r="AA30" s="139" t="s">
        <v>378</v>
      </c>
      <c r="AB30">
        <f>+VLOOKUP($AA30,'Cuadro 22 (D)'!$A:$C,3,FALSE)</f>
        <v>0.2</v>
      </c>
      <c r="AC30" s="60">
        <f t="shared" si="0"/>
        <v>5.3429606360046623E-6</v>
      </c>
      <c r="AE30" s="139" t="s">
        <v>378</v>
      </c>
      <c r="AF30" s="203">
        <f>+SUMIFS('Cuadro 27 (CP)'!$F:$F,'Cuadro 27 (CP)'!$A:$A,Resumen!$AE30,'Cuadro 27 (CP)'!$J:$J,Resumen!AF$2,'Cuadro 27 (CP)'!$K:$K,"SI")+SUMIFS('Cuadro 27 (CP)'!$F:$F,'Cuadro 27 (CP)'!$D:$D,Resumen!$AE30,'Cuadro 27 (CP)'!$J:$J,Resumen!AG$2,'Cuadro 27 (CP)'!$K:$K,"SI")</f>
        <v>5.23</v>
      </c>
      <c r="AG30" s="203">
        <f>+SUMIFS('Cuadro 27 (CP)'!$F:$F,'Cuadro 27 (CP)'!$A:$A,Resumen!$AE30,'Cuadro 27 (CP)'!$J:$J,Resumen!AG$2,'Cuadro 27 (CP)'!$K:$K,"SI")+SUMIFS('Cuadro 27 (CP)'!$F:$F,'Cuadro 27 (CP)'!$D:$D,Resumen!$AE30,'Cuadro 27 (CP)'!$J:$J,Resumen!AF$2,'Cuadro 27 (CP)'!$K:$K,"SI")</f>
        <v>4.59</v>
      </c>
      <c r="AH30" s="203">
        <f t="shared" si="2"/>
        <v>0.64000000000000057</v>
      </c>
      <c r="AI30" s="202">
        <f t="shared" si="1"/>
        <v>1.7097474035214933E-5</v>
      </c>
    </row>
    <row r="31" spans="1:35" x14ac:dyDescent="0.25">
      <c r="E31" s="147" t="s">
        <v>91</v>
      </c>
      <c r="F31" s="145">
        <f>+SUMIFS('Cuadro 3'!$D:$D,'Cuadro 3'!$A:$A,Resumen!$E31)</f>
        <v>0.01</v>
      </c>
      <c r="K31" s="156" t="s">
        <v>332</v>
      </c>
      <c r="L31" s="153"/>
      <c r="M31" s="58"/>
      <c r="O31" s="137" t="s">
        <v>362</v>
      </c>
      <c r="P31" s="60">
        <f t="shared" si="5"/>
        <v>0</v>
      </c>
      <c r="R31" s="57"/>
      <c r="S31" s="60"/>
      <c r="AA31" s="139" t="s">
        <v>379</v>
      </c>
      <c r="AB31">
        <f>+VLOOKUP($AA31,'Cuadro 22 (D)'!$A:$C,3,FALSE)</f>
        <v>0.34</v>
      </c>
      <c r="AC31" s="60">
        <f t="shared" si="0"/>
        <v>9.0830330812079264E-6</v>
      </c>
      <c r="AE31" s="139" t="s">
        <v>379</v>
      </c>
      <c r="AF31" s="203">
        <f>+SUMIFS('Cuadro 27 (CP)'!$F:$F,'Cuadro 27 (CP)'!$A:$A,Resumen!$AE31,'Cuadro 27 (CP)'!$J:$J,Resumen!AF$2,'Cuadro 27 (CP)'!$K:$K,"SI")+SUMIFS('Cuadro 27 (CP)'!$F:$F,'Cuadro 27 (CP)'!$D:$D,Resumen!$AE31,'Cuadro 27 (CP)'!$J:$J,Resumen!AG$2,'Cuadro 27 (CP)'!$K:$K,"SI")</f>
        <v>0.56000000000000005</v>
      </c>
      <c r="AG31" s="203">
        <f>+SUMIFS('Cuadro 27 (CP)'!$F:$F,'Cuadro 27 (CP)'!$A:$A,Resumen!$AE31,'Cuadro 27 (CP)'!$J:$J,Resumen!AG$2,'Cuadro 27 (CP)'!$K:$K,"SI")+SUMIFS('Cuadro 27 (CP)'!$F:$F,'Cuadro 27 (CP)'!$D:$D,Resumen!$AE31,'Cuadro 27 (CP)'!$J:$J,Resumen!AF$2,'Cuadro 27 (CP)'!$K:$K,"SI")</f>
        <v>0</v>
      </c>
      <c r="AH31" s="203">
        <f t="shared" si="2"/>
        <v>0.56000000000000005</v>
      </c>
      <c r="AI31" s="202">
        <f t="shared" si="1"/>
        <v>1.4960289780813056E-5</v>
      </c>
    </row>
    <row r="32" spans="1:35" ht="13.5" customHeight="1" x14ac:dyDescent="0.25">
      <c r="A32" s="21">
        <v>1</v>
      </c>
      <c r="B32" s="22" t="s">
        <v>290</v>
      </c>
      <c r="E32" s="148" t="s">
        <v>43</v>
      </c>
      <c r="F32" s="145">
        <f>+SUMIFS('Cuadro 3'!$D:$D,'Cuadro 3'!$A:$A,Resumen!$E32)</f>
        <v>8.0500000000000007</v>
      </c>
      <c r="H32" s="21">
        <v>1</v>
      </c>
      <c r="I32" s="22" t="s">
        <v>174</v>
      </c>
      <c r="K32" s="147" t="s">
        <v>69</v>
      </c>
      <c r="L32" s="153" t="s">
        <v>165</v>
      </c>
      <c r="M32" s="58">
        <f>+SUMIFS('Cuadro 4'!$D:$D,'Cuadro 4'!$A:$A,Resumen!$K32,'Cuadro 4'!$O:$O,Resumen!$L32)</f>
        <v>0</v>
      </c>
      <c r="O32" s="139" t="s">
        <v>363</v>
      </c>
      <c r="P32" s="60">
        <f t="shared" si="5"/>
        <v>8.8158850494076914E-6</v>
      </c>
      <c r="R32" s="57"/>
      <c r="S32" s="60"/>
      <c r="AA32" s="139" t="s">
        <v>354</v>
      </c>
      <c r="AB32">
        <f>+VLOOKUP($AA32,'Cuadro 22 (D)'!$A:$C,3,FALSE)</f>
        <v>708.33</v>
      </c>
      <c r="AC32" s="60">
        <f t="shared" si="0"/>
        <v>1.8922896536505914E-2</v>
      </c>
      <c r="AE32" s="139" t="s">
        <v>354</v>
      </c>
      <c r="AF32" s="203">
        <f>+SUMIFS('Cuadro 27 (CP)'!$F:$F,'Cuadro 27 (CP)'!$A:$A,Resumen!$AE32,'Cuadro 27 (CP)'!$J:$J,Resumen!AF$2,'Cuadro 27 (CP)'!$K:$K,"SI")+SUMIFS('Cuadro 27 (CP)'!$F:$F,'Cuadro 27 (CP)'!$D:$D,Resumen!$AE32,'Cuadro 27 (CP)'!$J:$J,Resumen!AG$2,'Cuadro 27 (CP)'!$K:$K,"SI")</f>
        <v>279.08</v>
      </c>
      <c r="AG32" s="203">
        <f>+SUMIFS('Cuadro 27 (CP)'!$F:$F,'Cuadro 27 (CP)'!$A:$A,Resumen!$AE32,'Cuadro 27 (CP)'!$J:$J,Resumen!AG$2,'Cuadro 27 (CP)'!$K:$K,"SI")+SUMIFS('Cuadro 27 (CP)'!$F:$F,'Cuadro 27 (CP)'!$D:$D,Resumen!$AE32,'Cuadro 27 (CP)'!$J:$J,Resumen!AF$2,'Cuadro 27 (CP)'!$K:$K,"SI")</f>
        <v>943.51</v>
      </c>
      <c r="AH32" s="203">
        <f t="shared" si="2"/>
        <v>-664.43000000000006</v>
      </c>
      <c r="AI32" s="202">
        <f t="shared" si="1"/>
        <v>-1.7750116676902891E-2</v>
      </c>
    </row>
    <row r="33" spans="1:35" ht="13.5" customHeight="1" x14ac:dyDescent="0.25">
      <c r="A33" s="21">
        <v>2</v>
      </c>
      <c r="B33" s="22" t="s">
        <v>291</v>
      </c>
      <c r="E33" s="147" t="s">
        <v>232</v>
      </c>
      <c r="F33" s="145">
        <f>+SUMIFS('Cuadro 3'!$D:$D,'Cuadro 3'!$A:$A,Resumen!$E33)</f>
        <v>0</v>
      </c>
      <c r="H33" s="21" t="s">
        <v>172</v>
      </c>
      <c r="I33" s="22" t="s">
        <v>175</v>
      </c>
      <c r="K33" s="147" t="s">
        <v>69</v>
      </c>
      <c r="L33" s="153" t="s">
        <v>61</v>
      </c>
      <c r="M33" s="58">
        <f>+SUMIFS('Cuadro 4'!$D:$D,'Cuadro 4'!$A:$A,Resumen!$K33,'Cuadro 4'!$O:$O,Resumen!$L33)</f>
        <v>0.01</v>
      </c>
      <c r="O33" s="137" t="s">
        <v>364</v>
      </c>
      <c r="P33" s="60">
        <f t="shared" si="5"/>
        <v>2.6714803180023312E-6</v>
      </c>
      <c r="AA33" s="139" t="s">
        <v>380</v>
      </c>
      <c r="AB33">
        <f>+VLOOKUP($AA33,'Cuadro 22 (D)'!$A:$C,3,FALSE)</f>
        <v>0.25</v>
      </c>
      <c r="AC33" s="60">
        <f t="shared" si="0"/>
        <v>6.6787007950058281E-6</v>
      </c>
      <c r="AE33" s="139" t="s">
        <v>380</v>
      </c>
      <c r="AF33" s="203">
        <f>+SUMIFS('Cuadro 27 (CP)'!$F:$F,'Cuadro 27 (CP)'!$A:$A,Resumen!$AE33,'Cuadro 27 (CP)'!$J:$J,Resumen!AF$2,'Cuadro 27 (CP)'!$K:$K,"SI")+SUMIFS('Cuadro 27 (CP)'!$F:$F,'Cuadro 27 (CP)'!$D:$D,Resumen!$AE33,'Cuadro 27 (CP)'!$J:$J,Resumen!AG$2,'Cuadro 27 (CP)'!$K:$K,"SI")</f>
        <v>70.599999999999994</v>
      </c>
      <c r="AG33" s="203">
        <f>+SUMIFS('Cuadro 27 (CP)'!$F:$F,'Cuadro 27 (CP)'!$A:$A,Resumen!$AE33,'Cuadro 27 (CP)'!$J:$J,Resumen!AG$2,'Cuadro 27 (CP)'!$K:$K,"SI")+SUMIFS('Cuadro 27 (CP)'!$F:$F,'Cuadro 27 (CP)'!$D:$D,Resumen!$AE33,'Cuadro 27 (CP)'!$J:$J,Resumen!AF$2,'Cuadro 27 (CP)'!$K:$K,"SI")</f>
        <v>2.59</v>
      </c>
      <c r="AH33" s="203">
        <f t="shared" si="2"/>
        <v>68.009999999999991</v>
      </c>
      <c r="AI33" s="202">
        <f t="shared" si="1"/>
        <v>1.8168737642733851E-3</v>
      </c>
    </row>
    <row r="34" spans="1:35" ht="13.5" customHeight="1" x14ac:dyDescent="0.25">
      <c r="A34" s="21">
        <v>3</v>
      </c>
      <c r="B34" s="22" t="s">
        <v>292</v>
      </c>
      <c r="E34" s="147" t="s">
        <v>233</v>
      </c>
      <c r="F34" s="145">
        <f>+SUMIFS('Cuadro 3'!$D:$D,'Cuadro 3'!$A:$A,Resumen!$E34)</f>
        <v>0</v>
      </c>
      <c r="H34" s="21" t="s">
        <v>63</v>
      </c>
      <c r="I34" s="22" t="s">
        <v>64</v>
      </c>
      <c r="K34" s="147" t="s">
        <v>69</v>
      </c>
      <c r="L34" s="153" t="s">
        <v>58</v>
      </c>
      <c r="M34" s="58">
        <f>+SUMIFS('Cuadro 4'!$D:$D,'Cuadro 4'!$A:$A,Resumen!$K34,'Cuadro 4'!$O:$O,Resumen!$L34)</f>
        <v>0.01</v>
      </c>
      <c r="O34" s="139" t="s">
        <v>365</v>
      </c>
      <c r="P34" s="60">
        <f t="shared" si="5"/>
        <v>-1.629602993981422E-5</v>
      </c>
      <c r="AA34" s="137" t="s">
        <v>381</v>
      </c>
      <c r="AB34">
        <f>+VLOOKUP($AA34,'Cuadro 22 (D)'!$A:$C,3,FALSE)</f>
        <v>0.01</v>
      </c>
      <c r="AC34" s="60">
        <f t="shared" si="0"/>
        <v>2.6714803180023312E-7</v>
      </c>
      <c r="AE34" s="137" t="s">
        <v>381</v>
      </c>
      <c r="AF34" s="203">
        <f>+SUMIFS('Cuadro 27 (CP)'!$F:$F,'Cuadro 27 (CP)'!$A:$A,Resumen!$AE34,'Cuadro 27 (CP)'!$J:$J,Resumen!AF$2,'Cuadro 27 (CP)'!$K:$K,"SI")+SUMIFS('Cuadro 27 (CP)'!$F:$F,'Cuadro 27 (CP)'!$D:$D,Resumen!$AE34,'Cuadro 27 (CP)'!$J:$J,Resumen!AG$2,'Cuadro 27 (CP)'!$K:$K,"SI")</f>
        <v>0.3</v>
      </c>
      <c r="AG34" s="203">
        <f>+SUMIFS('Cuadro 27 (CP)'!$F:$F,'Cuadro 27 (CP)'!$A:$A,Resumen!$AE34,'Cuadro 27 (CP)'!$J:$J,Resumen!AG$2,'Cuadro 27 (CP)'!$K:$K,"SI")+SUMIFS('Cuadro 27 (CP)'!$F:$F,'Cuadro 27 (CP)'!$D:$D,Resumen!$AE34,'Cuadro 27 (CP)'!$J:$J,Resumen!AF$2,'Cuadro 27 (CP)'!$K:$K,"SI")</f>
        <v>0</v>
      </c>
      <c r="AH34" s="203">
        <f t="shared" si="2"/>
        <v>0.3</v>
      </c>
      <c r="AI34" s="202">
        <f t="shared" si="1"/>
        <v>8.0144409540069931E-6</v>
      </c>
    </row>
    <row r="35" spans="1:35" ht="13.5" customHeight="1" x14ac:dyDescent="0.25">
      <c r="E35" s="147" t="s">
        <v>234</v>
      </c>
      <c r="F35" s="145">
        <f>+SUMIFS('Cuadro 3'!$D:$D,'Cuadro 3'!$A:$A,Resumen!$E35)</f>
        <v>0.15</v>
      </c>
      <c r="H35" s="21" t="s">
        <v>65</v>
      </c>
      <c r="I35" s="22" t="s">
        <v>66</v>
      </c>
      <c r="K35" s="147" t="s">
        <v>69</v>
      </c>
      <c r="L35" s="153" t="s">
        <v>57</v>
      </c>
      <c r="M35" s="58">
        <f>+SUMIFS('Cuadro 4'!$D:$D,'Cuadro 4'!$A:$A,Resumen!$K35,'Cuadro 4'!$O:$O,Resumen!$L35)</f>
        <v>0.18</v>
      </c>
      <c r="O35" s="137" t="s">
        <v>366</v>
      </c>
      <c r="P35" s="60">
        <f t="shared" si="5"/>
        <v>5.3429606360046623E-6</v>
      </c>
      <c r="AA35" s="139" t="s">
        <v>382</v>
      </c>
      <c r="AB35">
        <f>+VLOOKUP($AA35,'Cuadro 22 (D)'!$A:$C,3,FALSE)</f>
        <v>-0.01</v>
      </c>
      <c r="AC35" s="60">
        <f t="shared" si="0"/>
        <v>-2.6714803180023312E-7</v>
      </c>
      <c r="AE35" s="139" t="s">
        <v>382</v>
      </c>
      <c r="AF35" s="203">
        <f>+SUMIFS('Cuadro 27 (CP)'!$F:$F,'Cuadro 27 (CP)'!$A:$A,Resumen!$AE35,'Cuadro 27 (CP)'!$J:$J,Resumen!AF$2,'Cuadro 27 (CP)'!$K:$K,"SI")+SUMIFS('Cuadro 27 (CP)'!$F:$F,'Cuadro 27 (CP)'!$D:$D,Resumen!$AE35,'Cuadro 27 (CP)'!$J:$J,Resumen!AG$2,'Cuadro 27 (CP)'!$K:$K,"SI")</f>
        <v>0.25</v>
      </c>
      <c r="AG35" s="203">
        <f>+SUMIFS('Cuadro 27 (CP)'!$F:$F,'Cuadro 27 (CP)'!$A:$A,Resumen!$AE35,'Cuadro 27 (CP)'!$J:$J,Resumen!AG$2,'Cuadro 27 (CP)'!$K:$K,"SI")+SUMIFS('Cuadro 27 (CP)'!$F:$F,'Cuadro 27 (CP)'!$D:$D,Resumen!$AE35,'Cuadro 27 (CP)'!$J:$J,Resumen!AF$2,'Cuadro 27 (CP)'!$K:$K,"SI")</f>
        <v>0</v>
      </c>
      <c r="AH35" s="203">
        <f t="shared" si="2"/>
        <v>0.25</v>
      </c>
      <c r="AI35" s="202">
        <f t="shared" si="1"/>
        <v>6.6787007950058281E-6</v>
      </c>
    </row>
    <row r="36" spans="1:35" ht="13.5" customHeight="1" x14ac:dyDescent="0.25">
      <c r="E36" s="147" t="s">
        <v>235</v>
      </c>
      <c r="F36" s="145">
        <f>+SUMIFS('Cuadro 3'!$D:$D,'Cuadro 3'!$A:$A,Resumen!$E36)</f>
        <v>0</v>
      </c>
      <c r="H36" s="21" t="s">
        <v>67</v>
      </c>
      <c r="I36" s="22" t="s">
        <v>68</v>
      </c>
      <c r="K36" s="147" t="s">
        <v>89</v>
      </c>
      <c r="L36" s="153" t="s">
        <v>163</v>
      </c>
      <c r="M36" s="58">
        <f>+SUMIFS('Cuadro 4'!$D:$D,'Cuadro 4'!$A:$A,Resumen!$K36,'Cuadro 4'!$O:$O,Resumen!$L36)</f>
        <v>0</v>
      </c>
      <c r="O36" s="139" t="s">
        <v>367</v>
      </c>
      <c r="P36" s="60">
        <f t="shared" si="5"/>
        <v>5.7436826837050118E-5</v>
      </c>
      <c r="AA36" s="139" t="s">
        <v>398</v>
      </c>
      <c r="AB36">
        <f>+VLOOKUP($AA36,'Cuadro 22 (D)'!$A:$C,3,FALSE)</f>
        <v>0</v>
      </c>
      <c r="AC36" s="60">
        <f t="shared" si="0"/>
        <v>0</v>
      </c>
      <c r="AF36" s="201"/>
      <c r="AG36" s="198" t="s">
        <v>397</v>
      </c>
      <c r="AH36" s="204">
        <f>+SUM(AH3:AH35)</f>
        <v>-1.4324652575226082E-12</v>
      </c>
      <c r="AI36" s="205">
        <f t="shared" si="1"/>
        <v>-3.8268027416937884E-17</v>
      </c>
    </row>
    <row r="37" spans="1:35" ht="13.5" customHeight="1" x14ac:dyDescent="0.25">
      <c r="E37" s="147" t="s">
        <v>236</v>
      </c>
      <c r="F37" s="145">
        <f>+SUMIFS('Cuadro 3'!$D:$D,'Cuadro 3'!$A:$A,Resumen!$E37)</f>
        <v>0</v>
      </c>
      <c r="H37" s="21" t="s">
        <v>127</v>
      </c>
      <c r="I37" s="22" t="s">
        <v>128</v>
      </c>
      <c r="K37" s="147" t="s">
        <v>89</v>
      </c>
      <c r="L37" s="153" t="s">
        <v>60</v>
      </c>
      <c r="M37" s="58">
        <f>+SUMIFS('Cuadro 4'!$D:$D,'Cuadro 4'!$A:$A,Resumen!$K37,'Cuadro 4'!$O:$O,Resumen!$L37)</f>
        <v>0.01</v>
      </c>
      <c r="O37" s="137" t="s">
        <v>355</v>
      </c>
      <c r="P37" s="60">
        <f t="shared" si="5"/>
        <v>6.9199354677214366E-3</v>
      </c>
      <c r="AA37" s="206" t="s">
        <v>399</v>
      </c>
      <c r="AB37">
        <f>+VLOOKUP($AA37,'Cuadro 22 (D)'!$A:$C,3,FALSE)</f>
        <v>3889.56</v>
      </c>
      <c r="AC37" s="60">
        <f t="shared" si="0"/>
        <v>0.10390882985689147</v>
      </c>
    </row>
    <row r="38" spans="1:35" ht="13.5" customHeight="1" x14ac:dyDescent="0.25">
      <c r="E38" s="148" t="s">
        <v>187</v>
      </c>
      <c r="F38" s="145">
        <f>+SUMIFS('Cuadro 3'!$D:$D,'Cuadro 3'!$A:$A,Resumen!$E38)</f>
        <v>0.16</v>
      </c>
      <c r="H38" s="21" t="s">
        <v>69</v>
      </c>
      <c r="I38" s="22" t="s">
        <v>70</v>
      </c>
      <c r="K38" s="147" t="s">
        <v>89</v>
      </c>
      <c r="L38" s="153" t="s">
        <v>166</v>
      </c>
      <c r="M38" s="58">
        <f>+SUMIFS('Cuadro 4'!$D:$D,'Cuadro 4'!$A:$A,Resumen!$K38,'Cuadro 4'!$O:$O,Resumen!$L38)</f>
        <v>0.5</v>
      </c>
      <c r="O38" s="139" t="s">
        <v>368</v>
      </c>
      <c r="P38" s="60">
        <f t="shared" si="5"/>
        <v>1.009819560204881E-4</v>
      </c>
      <c r="AA38" s="206" t="s">
        <v>402</v>
      </c>
      <c r="AB38">
        <f>+SUM(AB3:AB36)</f>
        <v>3889.5300000000007</v>
      </c>
    </row>
    <row r="39" spans="1:35" ht="13.5" customHeight="1" x14ac:dyDescent="0.25">
      <c r="E39" s="200" t="s">
        <v>231</v>
      </c>
      <c r="F39" s="145">
        <f>+SUMIFS('Cuadro 3'!$D:$D,'Cuadro 3'!$A:$A,Resumen!$E39)</f>
        <v>0</v>
      </c>
      <c r="H39" s="21" t="s">
        <v>71</v>
      </c>
      <c r="I39" s="22" t="s">
        <v>72</v>
      </c>
      <c r="K39" s="147" t="s">
        <v>89</v>
      </c>
      <c r="L39" s="153" t="s">
        <v>62</v>
      </c>
      <c r="M39" s="58">
        <f>+SUMIFS('Cuadro 4'!$D:$D,'Cuadro 4'!$A:$A,Resumen!$K39,'Cuadro 4'!$O:$O,Resumen!$L39)</f>
        <v>0</v>
      </c>
      <c r="O39" s="137" t="s">
        <v>369</v>
      </c>
      <c r="P39" s="60">
        <f t="shared" si="5"/>
        <v>1.4762600237280881E-3</v>
      </c>
      <c r="AB39" s="58">
        <f>+C19/100*P18</f>
        <v>3889.2294770000003</v>
      </c>
      <c r="AC39" s="58"/>
    </row>
    <row r="40" spans="1:35" ht="13.5" customHeight="1" x14ac:dyDescent="0.25">
      <c r="E40" s="147" t="s">
        <v>237</v>
      </c>
      <c r="F40" s="145">
        <f>+SUMIFS('Cuadro 3'!$D:$D,'Cuadro 3'!$A:$A,Resumen!$E40)</f>
        <v>0</v>
      </c>
      <c r="H40" s="21" t="s">
        <v>153</v>
      </c>
      <c r="I40" s="22" t="s">
        <v>176</v>
      </c>
      <c r="K40" s="147" t="s">
        <v>89</v>
      </c>
      <c r="L40" s="153" t="s">
        <v>61</v>
      </c>
      <c r="M40" s="58">
        <f>+SUMIFS('Cuadro 4'!$D:$D,'Cuadro 4'!$A:$A,Resumen!$K40,'Cuadro 4'!$O:$O,Resumen!$L40)</f>
        <v>1.69</v>
      </c>
      <c r="O40" s="139" t="s">
        <v>370</v>
      </c>
      <c r="P40" s="60">
        <f t="shared" si="5"/>
        <v>0</v>
      </c>
    </row>
    <row r="41" spans="1:35" ht="13.5" customHeight="1" x14ac:dyDescent="0.25">
      <c r="E41" s="147" t="s">
        <v>69</v>
      </c>
      <c r="F41" s="145">
        <f>+SUMIFS('Cuadro 3'!$D:$D,'Cuadro 3'!$A:$A,Resumen!$E41)</f>
        <v>0.2</v>
      </c>
      <c r="H41" s="21" t="s">
        <v>73</v>
      </c>
      <c r="I41" s="22" t="s">
        <v>74</v>
      </c>
      <c r="K41" s="147" t="s">
        <v>89</v>
      </c>
      <c r="L41" s="153" t="s">
        <v>57</v>
      </c>
      <c r="M41" s="58">
        <f>+SUMIFS('Cuadro 4'!$D:$D,'Cuadro 4'!$A:$A,Resumen!$K41,'Cuadro 4'!$O:$O,Resumen!$L41)</f>
        <v>2.65</v>
      </c>
      <c r="O41" s="137" t="s">
        <v>371</v>
      </c>
      <c r="P41" s="60">
        <f t="shared" si="5"/>
        <v>1.6429603955714337E-4</v>
      </c>
    </row>
    <row r="42" spans="1:35" ht="13.5" customHeight="1" x14ac:dyDescent="0.25">
      <c r="E42" s="147" t="s">
        <v>238</v>
      </c>
      <c r="F42" s="145">
        <f>+SUMIFS('Cuadro 3'!$D:$D,'Cuadro 3'!$A:$A,Resumen!$E42)</f>
        <v>0</v>
      </c>
      <c r="H42" s="21" t="s">
        <v>75</v>
      </c>
      <c r="I42" s="22" t="s">
        <v>76</v>
      </c>
      <c r="K42" s="147" t="s">
        <v>99</v>
      </c>
      <c r="L42" s="153" t="s">
        <v>57</v>
      </c>
      <c r="M42" s="58">
        <f>+SUMIFS('Cuadro 4'!$D:$D,'Cuadro 4'!$A:$A,Resumen!$K42,'Cuadro 4'!$O:$O,Resumen!$L42)</f>
        <v>0.06</v>
      </c>
      <c r="O42" s="139" t="s">
        <v>372</v>
      </c>
      <c r="P42" s="60">
        <f t="shared" si="5"/>
        <v>1.3357401590011656E-5</v>
      </c>
    </row>
    <row r="43" spans="1:35" ht="13.5" customHeight="1" x14ac:dyDescent="0.25">
      <c r="E43" s="147" t="s">
        <v>239</v>
      </c>
      <c r="F43" s="145">
        <f>+SUMIFS('Cuadro 3'!$D:$D,'Cuadro 3'!$A:$A,Resumen!$E43)</f>
        <v>0</v>
      </c>
      <c r="H43" s="21" t="s">
        <v>77</v>
      </c>
      <c r="I43" s="22" t="s">
        <v>78</v>
      </c>
      <c r="O43" s="137" t="s">
        <v>373</v>
      </c>
      <c r="P43" s="60">
        <f t="shared" si="5"/>
        <v>2.6714803180023312E-6</v>
      </c>
    </row>
    <row r="44" spans="1:35" ht="13.5" customHeight="1" x14ac:dyDescent="0.25">
      <c r="E44" s="147" t="s">
        <v>240</v>
      </c>
      <c r="F44" s="145">
        <f>+SUMIFS('Cuadro 3'!$D:$D,'Cuadro 3'!$A:$A,Resumen!$E44)</f>
        <v>0.26</v>
      </c>
      <c r="H44" s="21" t="s">
        <v>79</v>
      </c>
      <c r="I44" s="22" t="s">
        <v>80</v>
      </c>
      <c r="M44" s="189"/>
      <c r="O44" s="139" t="s">
        <v>353</v>
      </c>
      <c r="P44" s="60">
        <f t="shared" si="5"/>
        <v>4.3064262726197594E-4</v>
      </c>
    </row>
    <row r="45" spans="1:35" ht="13.5" customHeight="1" x14ac:dyDescent="0.25">
      <c r="E45" s="147" t="s">
        <v>241</v>
      </c>
      <c r="F45" s="145">
        <f>+SUMIFS('Cuadro 3'!$D:$D,'Cuadro 3'!$A:$A,Resumen!$E45)</f>
        <v>0</v>
      </c>
      <c r="H45" s="21" t="s">
        <v>81</v>
      </c>
      <c r="I45" s="22" t="s">
        <v>82</v>
      </c>
      <c r="O45" s="137" t="s">
        <v>374</v>
      </c>
      <c r="P45" s="60">
        <f t="shared" si="5"/>
        <v>4.8086645724041959E-5</v>
      </c>
    </row>
    <row r="46" spans="1:35" ht="13.5" customHeight="1" x14ac:dyDescent="0.25">
      <c r="E46" s="147" t="s">
        <v>242</v>
      </c>
      <c r="F46" s="145">
        <f>+SUMIFS('Cuadro 3'!$D:$D,'Cuadro 3'!$A:$A,Resumen!$E46)</f>
        <v>0</v>
      </c>
      <c r="H46" s="21" t="s">
        <v>83</v>
      </c>
      <c r="I46" s="22" t="s">
        <v>84</v>
      </c>
      <c r="O46" s="139" t="s">
        <v>375</v>
      </c>
      <c r="P46" s="60">
        <f t="shared" si="5"/>
        <v>1.6830326003414686E-5</v>
      </c>
    </row>
    <row r="47" spans="1:35" ht="13.5" customHeight="1" x14ac:dyDescent="0.25">
      <c r="E47" s="147" t="s">
        <v>243</v>
      </c>
      <c r="F47" s="145">
        <f>+SUMIFS('Cuadro 3'!$D:$D,'Cuadro 3'!$A:$A,Resumen!$E47)</f>
        <v>3.12</v>
      </c>
      <c r="H47" s="21" t="s">
        <v>85</v>
      </c>
      <c r="I47" s="22" t="s">
        <v>86</v>
      </c>
      <c r="O47" s="137" t="s">
        <v>376</v>
      </c>
      <c r="P47" s="60">
        <f t="shared" si="5"/>
        <v>2.2707582703019816E-5</v>
      </c>
    </row>
    <row r="48" spans="1:35" ht="13.5" customHeight="1" x14ac:dyDescent="0.25">
      <c r="E48" s="147" t="s">
        <v>244</v>
      </c>
      <c r="F48" s="145">
        <f>+SUMIFS('Cuadro 3'!$D:$D,'Cuadro 3'!$A:$A,Resumen!$E48)</f>
        <v>0</v>
      </c>
      <c r="H48" s="21" t="s">
        <v>87</v>
      </c>
      <c r="I48" s="22" t="s">
        <v>88</v>
      </c>
      <c r="O48" s="137" t="s">
        <v>377</v>
      </c>
      <c r="P48" s="60">
        <f t="shared" si="5"/>
        <v>0</v>
      </c>
      <c r="S48" s="189"/>
    </row>
    <row r="49" spans="5:19" ht="13.5" customHeight="1" x14ac:dyDescent="0.25">
      <c r="E49" s="147" t="s">
        <v>89</v>
      </c>
      <c r="F49" s="145">
        <f>+SUMIFS('Cuadro 3'!$D:$D,'Cuadro 3'!$A:$A,Resumen!$E49)</f>
        <v>4.8499999999999996</v>
      </c>
      <c r="H49" s="21" t="s">
        <v>89</v>
      </c>
      <c r="I49" s="22" t="s">
        <v>90</v>
      </c>
      <c r="O49" s="139" t="s">
        <v>378</v>
      </c>
      <c r="P49" s="60">
        <f t="shared" si="5"/>
        <v>2.2440434671219596E-5</v>
      </c>
      <c r="S49" s="189"/>
    </row>
    <row r="50" spans="5:19" ht="13.5" customHeight="1" x14ac:dyDescent="0.25">
      <c r="E50" s="147" t="s">
        <v>245</v>
      </c>
      <c r="F50" s="145">
        <f>+SUMIFS('Cuadro 3'!$D:$D,'Cuadro 3'!$A:$A,Resumen!$E50)</f>
        <v>1.56</v>
      </c>
      <c r="H50" s="21" t="s">
        <v>93</v>
      </c>
      <c r="I50" s="22" t="s">
        <v>94</v>
      </c>
      <c r="O50" s="139" t="s">
        <v>379</v>
      </c>
      <c r="P50" s="60">
        <f t="shared" si="5"/>
        <v>2.4043322862020983E-5</v>
      </c>
    </row>
    <row r="51" spans="5:19" ht="13.5" customHeight="1" x14ac:dyDescent="0.25">
      <c r="E51" s="147" t="s">
        <v>246</v>
      </c>
      <c r="F51" s="145">
        <f>+SUMIFS('Cuadro 3'!$D:$D,'Cuadro 3'!$A:$A,Resumen!$E51)</f>
        <v>0.19</v>
      </c>
      <c r="H51" s="21" t="s">
        <v>95</v>
      </c>
      <c r="I51" s="22" t="s">
        <v>96</v>
      </c>
      <c r="O51" s="139" t="s">
        <v>354</v>
      </c>
      <c r="P51" s="60">
        <f t="shared" si="5"/>
        <v>1.172779859603023E-3</v>
      </c>
    </row>
    <row r="52" spans="5:19" ht="13.5" customHeight="1" x14ac:dyDescent="0.25">
      <c r="E52" s="147" t="s">
        <v>247</v>
      </c>
      <c r="F52" s="145">
        <f>+SUMIFS('Cuadro 3'!$D:$D,'Cuadro 3'!$A:$A,Resumen!$E52)</f>
        <v>0</v>
      </c>
      <c r="H52" s="21" t="s">
        <v>97</v>
      </c>
      <c r="I52" s="22" t="s">
        <v>98</v>
      </c>
      <c r="O52" s="139" t="s">
        <v>380</v>
      </c>
      <c r="P52" s="60">
        <f t="shared" si="5"/>
        <v>1.8235524650683909E-3</v>
      </c>
    </row>
    <row r="53" spans="5:19" x14ac:dyDescent="0.25">
      <c r="E53" s="147" t="s">
        <v>99</v>
      </c>
      <c r="F53" s="145">
        <f>+SUMIFS('Cuadro 3'!$D:$D,'Cuadro 3'!$A:$A,Resumen!$E53)</f>
        <v>0.06</v>
      </c>
      <c r="O53" s="137" t="s">
        <v>381</v>
      </c>
      <c r="P53" s="60">
        <f t="shared" si="5"/>
        <v>8.2815889858072264E-6</v>
      </c>
    </row>
    <row r="54" spans="5:19" x14ac:dyDescent="0.25">
      <c r="E54" s="147" t="s">
        <v>248</v>
      </c>
      <c r="F54" s="145">
        <f>+SUMIFS('Cuadro 3'!$D:$D,'Cuadro 3'!$A:$A,Resumen!$E54)</f>
        <v>0.04</v>
      </c>
      <c r="O54" s="139" t="s">
        <v>382</v>
      </c>
      <c r="P54" s="60">
        <f t="shared" si="5"/>
        <v>6.4115527632055948E-6</v>
      </c>
    </row>
    <row r="55" spans="5:19" x14ac:dyDescent="0.25">
      <c r="E55" s="147" t="s">
        <v>249</v>
      </c>
      <c r="F55" s="145">
        <f>+SUMIFS('Cuadro 3'!$D:$D,'Cuadro 3'!$A:$A,Resumen!$E55)</f>
        <v>0.03</v>
      </c>
      <c r="O55" s="139" t="s">
        <v>398</v>
      </c>
      <c r="P55" s="60">
        <f t="shared" si="5"/>
        <v>0</v>
      </c>
    </row>
    <row r="56" spans="5:19" x14ac:dyDescent="0.25">
      <c r="E56" s="148" t="s">
        <v>52</v>
      </c>
      <c r="F56" s="145">
        <f>+SUMIFS('Cuadro 3'!$D:$D,'Cuadro 3'!$A:$A,Resumen!$E56)</f>
        <v>10.31</v>
      </c>
      <c r="O56" s="153" t="s">
        <v>145</v>
      </c>
      <c r="P56" s="60">
        <f t="shared" si="5"/>
        <v>1.5E-3</v>
      </c>
    </row>
    <row r="57" spans="5:19" x14ac:dyDescent="0.25">
      <c r="E57" s="147" t="s">
        <v>250</v>
      </c>
      <c r="F57" s="145">
        <f>+SUMIFS('Cuadro 3'!$D:$D,'Cuadro 3'!$A:$A,Resumen!$E57)</f>
        <v>0.09</v>
      </c>
      <c r="P57" s="186">
        <f>+SUM(P22:P56)</f>
        <v>0.99970802841279593</v>
      </c>
    </row>
    <row r="58" spans="5:19" x14ac:dyDescent="0.25">
      <c r="E58" s="147" t="s">
        <v>251</v>
      </c>
      <c r="F58" s="145">
        <f>+SUMIFS('Cuadro 3'!$D:$D,'Cuadro 3'!$A:$A,Resumen!$E58)</f>
        <v>0.08</v>
      </c>
    </row>
    <row r="59" spans="5:19" x14ac:dyDescent="0.25">
      <c r="E59" s="147" t="s">
        <v>252</v>
      </c>
      <c r="F59" s="145">
        <f>+SUMIFS('Cuadro 3'!$D:$D,'Cuadro 3'!$A:$A,Resumen!$E59)</f>
        <v>0.01</v>
      </c>
    </row>
    <row r="60" spans="5:19" x14ac:dyDescent="0.25">
      <c r="E60" s="148" t="s">
        <v>204</v>
      </c>
      <c r="F60" s="145">
        <f>+SUMIFS('Cuadro 3'!$D:$D,'Cuadro 3'!$A:$A,Resumen!$E60)</f>
        <v>0.18</v>
      </c>
    </row>
    <row r="61" spans="5:19" x14ac:dyDescent="0.25">
      <c r="E61" s="148" t="s">
        <v>205</v>
      </c>
      <c r="F61" s="145">
        <f>+SUMIFS('Cuadro 3'!$D:$D,'Cuadro 3'!$A:$A,Resumen!$E61)</f>
        <v>0</v>
      </c>
    </row>
    <row r="62" spans="5:19" ht="13.5" customHeight="1" x14ac:dyDescent="0.25">
      <c r="E62" s="148" t="s">
        <v>206</v>
      </c>
      <c r="F62" s="145">
        <f>+SUMIFS('Cuadro 3'!$D:$D,'Cuadro 3'!$A:$A,Resumen!$E62)</f>
        <v>0</v>
      </c>
    </row>
    <row r="63" spans="5:19" ht="13.5" customHeight="1" x14ac:dyDescent="0.25"/>
    <row r="64" spans="5:19" ht="13.5" customHeight="1" x14ac:dyDescent="0.25">
      <c r="E64" s="21">
        <v>-1</v>
      </c>
      <c r="F64" s="22" t="s">
        <v>293</v>
      </c>
    </row>
    <row r="65" spans="5:16" ht="13.5" customHeight="1" x14ac:dyDescent="0.25">
      <c r="E65" s="21">
        <v>-2</v>
      </c>
      <c r="F65" s="22" t="s">
        <v>294</v>
      </c>
    </row>
    <row r="66" spans="5:16" ht="13.5" customHeight="1" x14ac:dyDescent="0.25">
      <c r="E66" s="21">
        <v>-3</v>
      </c>
      <c r="F66" s="22" t="s">
        <v>295</v>
      </c>
    </row>
    <row r="67" spans="5:16" ht="13.5" customHeight="1" x14ac:dyDescent="0.25">
      <c r="E67" s="21">
        <v>-4</v>
      </c>
      <c r="F67" s="22" t="s">
        <v>296</v>
      </c>
    </row>
    <row r="68" spans="5:16" ht="13.5" customHeight="1" x14ac:dyDescent="0.25">
      <c r="E68" s="21" t="s">
        <v>228</v>
      </c>
      <c r="F68" s="22" t="s">
        <v>297</v>
      </c>
      <c r="O68" s="145"/>
    </row>
    <row r="69" spans="5:16" ht="13.5" customHeight="1" x14ac:dyDescent="0.25">
      <c r="E69" s="21" t="s">
        <v>231</v>
      </c>
      <c r="F69" s="22" t="s">
        <v>298</v>
      </c>
      <c r="P69" s="145"/>
    </row>
    <row r="70" spans="5:16" ht="13.5" customHeight="1" x14ac:dyDescent="0.25">
      <c r="E70" s="21" t="s">
        <v>237</v>
      </c>
      <c r="F70" s="22" t="s">
        <v>299</v>
      </c>
    </row>
    <row r="71" spans="5:16" ht="13.5" customHeight="1" x14ac:dyDescent="0.25">
      <c r="E71" s="21" t="s">
        <v>172</v>
      </c>
      <c r="F71" s="22" t="s">
        <v>175</v>
      </c>
    </row>
    <row r="72" spans="5:16" ht="13.5" customHeight="1" x14ac:dyDescent="0.25">
      <c r="E72" s="21" t="s">
        <v>63</v>
      </c>
      <c r="F72" s="22" t="s">
        <v>64</v>
      </c>
    </row>
    <row r="73" spans="5:16" ht="13.5" customHeight="1" x14ac:dyDescent="0.25">
      <c r="E73" s="21" t="s">
        <v>65</v>
      </c>
      <c r="F73" s="22" t="s">
        <v>66</v>
      </c>
    </row>
    <row r="74" spans="5:16" ht="13.5" customHeight="1" x14ac:dyDescent="0.25">
      <c r="E74" s="21" t="s">
        <v>67</v>
      </c>
      <c r="F74" s="22" t="s">
        <v>68</v>
      </c>
    </row>
    <row r="75" spans="5:16" ht="13.5" customHeight="1" x14ac:dyDescent="0.25">
      <c r="E75" s="21" t="s">
        <v>127</v>
      </c>
      <c r="F75" s="22" t="s">
        <v>128</v>
      </c>
    </row>
    <row r="76" spans="5:16" ht="13.5" customHeight="1" x14ac:dyDescent="0.25">
      <c r="E76" s="21" t="s">
        <v>69</v>
      </c>
      <c r="F76" s="22" t="s">
        <v>70</v>
      </c>
    </row>
    <row r="77" spans="5:16" ht="13.5" customHeight="1" x14ac:dyDescent="0.25">
      <c r="E77" s="21" t="s">
        <v>71</v>
      </c>
      <c r="F77" s="22" t="s">
        <v>72</v>
      </c>
    </row>
    <row r="78" spans="5:16" ht="13.5" customHeight="1" x14ac:dyDescent="0.25">
      <c r="E78" s="21" t="s">
        <v>153</v>
      </c>
      <c r="F78" s="22" t="s">
        <v>176</v>
      </c>
    </row>
    <row r="79" spans="5:16" ht="13.5" customHeight="1" x14ac:dyDescent="0.25">
      <c r="E79" s="21" t="s">
        <v>73</v>
      </c>
      <c r="F79" s="22" t="s">
        <v>74</v>
      </c>
    </row>
    <row r="80" spans="5:16" ht="13.5" customHeight="1" x14ac:dyDescent="0.25">
      <c r="E80" s="21" t="s">
        <v>75</v>
      </c>
      <c r="F80" s="22" t="s">
        <v>76</v>
      </c>
    </row>
    <row r="81" spans="5:6" ht="13.5" customHeight="1" x14ac:dyDescent="0.25">
      <c r="E81" s="21" t="s">
        <v>77</v>
      </c>
      <c r="F81" s="22" t="s">
        <v>78</v>
      </c>
    </row>
    <row r="82" spans="5:6" ht="13.5" customHeight="1" x14ac:dyDescent="0.25">
      <c r="E82" s="21" t="s">
        <v>79</v>
      </c>
      <c r="F82" s="22" t="s">
        <v>80</v>
      </c>
    </row>
    <row r="83" spans="5:6" ht="13.5" customHeight="1" x14ac:dyDescent="0.25">
      <c r="E83" s="21" t="s">
        <v>81</v>
      </c>
      <c r="F83" s="22" t="s">
        <v>82</v>
      </c>
    </row>
    <row r="84" spans="5:6" ht="13.5" customHeight="1" x14ac:dyDescent="0.25">
      <c r="E84" s="21" t="s">
        <v>250</v>
      </c>
      <c r="F84" s="22" t="s">
        <v>300</v>
      </c>
    </row>
    <row r="85" spans="5:6" ht="13.5" customHeight="1" x14ac:dyDescent="0.25">
      <c r="E85" s="21" t="s">
        <v>251</v>
      </c>
      <c r="F85" s="22" t="s">
        <v>301</v>
      </c>
    </row>
    <row r="86" spans="5:6" ht="13.5" customHeight="1" x14ac:dyDescent="0.25">
      <c r="E86" s="21" t="s">
        <v>83</v>
      </c>
      <c r="F86" s="22" t="s">
        <v>84</v>
      </c>
    </row>
    <row r="87" spans="5:6" ht="13.5" customHeight="1" x14ac:dyDescent="0.25">
      <c r="E87" s="21" t="s">
        <v>232</v>
      </c>
      <c r="F87" s="22" t="s">
        <v>302</v>
      </c>
    </row>
    <row r="88" spans="5:6" ht="13.5" customHeight="1" x14ac:dyDescent="0.25">
      <c r="E88" s="21" t="s">
        <v>233</v>
      </c>
      <c r="F88" s="22" t="s">
        <v>302</v>
      </c>
    </row>
    <row r="89" spans="5:6" ht="13.5" customHeight="1" x14ac:dyDescent="0.25">
      <c r="E89" s="21" t="s">
        <v>234</v>
      </c>
      <c r="F89" s="22" t="s">
        <v>303</v>
      </c>
    </row>
    <row r="90" spans="5:6" ht="13.5" customHeight="1" x14ac:dyDescent="0.25">
      <c r="E90" s="21" t="s">
        <v>235</v>
      </c>
      <c r="F90" s="22" t="s">
        <v>303</v>
      </c>
    </row>
    <row r="91" spans="5:6" ht="13.5" customHeight="1" x14ac:dyDescent="0.25">
      <c r="E91" s="21" t="s">
        <v>242</v>
      </c>
      <c r="F91" s="22" t="s">
        <v>304</v>
      </c>
    </row>
    <row r="92" spans="5:6" ht="13.5" customHeight="1" x14ac:dyDescent="0.25">
      <c r="E92" s="21" t="s">
        <v>243</v>
      </c>
      <c r="F92" s="22" t="s">
        <v>305</v>
      </c>
    </row>
    <row r="93" spans="5:6" ht="13.5" customHeight="1" x14ac:dyDescent="0.25">
      <c r="E93" s="21" t="s">
        <v>244</v>
      </c>
      <c r="F93" s="22" t="s">
        <v>305</v>
      </c>
    </row>
    <row r="94" spans="5:6" ht="13.5" customHeight="1" x14ac:dyDescent="0.25">
      <c r="E94" s="21" t="s">
        <v>85</v>
      </c>
      <c r="F94" s="22" t="s">
        <v>86</v>
      </c>
    </row>
    <row r="95" spans="5:6" ht="13.5" customHeight="1" x14ac:dyDescent="0.25">
      <c r="E95" s="21" t="s">
        <v>87</v>
      </c>
      <c r="F95" s="22" t="s">
        <v>88</v>
      </c>
    </row>
    <row r="96" spans="5:6" ht="13.5" customHeight="1" x14ac:dyDescent="0.25">
      <c r="E96" s="21" t="s">
        <v>89</v>
      </c>
      <c r="F96" s="22" t="s">
        <v>90</v>
      </c>
    </row>
    <row r="97" spans="5:6" ht="13.5" customHeight="1" x14ac:dyDescent="0.25">
      <c r="E97" s="21" t="s">
        <v>245</v>
      </c>
      <c r="F97" s="22" t="s">
        <v>306</v>
      </c>
    </row>
    <row r="98" spans="5:6" ht="13.5" customHeight="1" x14ac:dyDescent="0.25">
      <c r="E98" s="21" t="s">
        <v>246</v>
      </c>
      <c r="F98" s="22" t="s">
        <v>307</v>
      </c>
    </row>
    <row r="99" spans="5:6" ht="13.5" customHeight="1" x14ac:dyDescent="0.25">
      <c r="E99" s="21" t="s">
        <v>236</v>
      </c>
      <c r="F99" s="22" t="s">
        <v>308</v>
      </c>
    </row>
    <row r="100" spans="5:6" ht="13.5" customHeight="1" x14ac:dyDescent="0.25">
      <c r="E100" s="21" t="s">
        <v>93</v>
      </c>
      <c r="F100" s="22" t="s">
        <v>94</v>
      </c>
    </row>
    <row r="101" spans="5:6" ht="13.5" customHeight="1" x14ac:dyDescent="0.25">
      <c r="E101" s="21" t="s">
        <v>95</v>
      </c>
      <c r="F101" s="22" t="s">
        <v>96</v>
      </c>
    </row>
    <row r="102" spans="5:6" ht="13.5" customHeight="1" x14ac:dyDescent="0.25">
      <c r="E102" s="21" t="s">
        <v>97</v>
      </c>
      <c r="F102" s="22" t="s">
        <v>98</v>
      </c>
    </row>
    <row r="103" spans="5:6" ht="13.5" customHeight="1" x14ac:dyDescent="0.25">
      <c r="E103" s="21" t="s">
        <v>247</v>
      </c>
      <c r="F103" s="22" t="s">
        <v>309</v>
      </c>
    </row>
    <row r="104" spans="5:6" ht="13.5" customHeight="1" x14ac:dyDescent="0.25">
      <c r="E104" s="21" t="s">
        <v>229</v>
      </c>
      <c r="F104" s="22" t="s">
        <v>310</v>
      </c>
    </row>
    <row r="105" spans="5:6" ht="13.5" customHeight="1" x14ac:dyDescent="0.25">
      <c r="E105" s="21" t="s">
        <v>311</v>
      </c>
      <c r="F105" s="22" t="s">
        <v>312</v>
      </c>
    </row>
    <row r="106" spans="5:6" ht="13.5" customHeight="1" x14ac:dyDescent="0.25">
      <c r="E106" s="21" t="s">
        <v>313</v>
      </c>
      <c r="F106" s="22" t="s">
        <v>312</v>
      </c>
    </row>
    <row r="107" spans="5:6" ht="13.5" customHeight="1" x14ac:dyDescent="0.25">
      <c r="E107" s="21" t="s">
        <v>314</v>
      </c>
      <c r="F107" s="22" t="s">
        <v>315</v>
      </c>
    </row>
    <row r="108" spans="5:6" ht="13.5" customHeight="1" x14ac:dyDescent="0.25">
      <c r="E108" s="21" t="s">
        <v>316</v>
      </c>
      <c r="F108" s="22" t="s">
        <v>317</v>
      </c>
    </row>
    <row r="109" spans="5:6" ht="135" x14ac:dyDescent="0.25">
      <c r="E109" s="21" t="s">
        <v>318</v>
      </c>
      <c r="F109" s="22" t="s">
        <v>319</v>
      </c>
    </row>
    <row r="110" spans="5:6" ht="135" x14ac:dyDescent="0.25">
      <c r="E110" s="21" t="s">
        <v>320</v>
      </c>
      <c r="F110" s="22" t="s">
        <v>319</v>
      </c>
    </row>
  </sheetData>
  <mergeCells count="9">
    <mergeCell ref="T2:U2"/>
    <mergeCell ref="T5:T6"/>
    <mergeCell ref="U5:U6"/>
    <mergeCell ref="B1:F1"/>
    <mergeCell ref="H1:I1"/>
    <mergeCell ref="P2:Q2"/>
    <mergeCell ref="R5:R6"/>
    <mergeCell ref="R2:S2"/>
    <mergeCell ref="S5:S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5"/>
  <sheetViews>
    <sheetView zoomScale="85" zoomScaleNormal="85" workbookViewId="0">
      <selection activeCell="F42" sqref="F42"/>
    </sheetView>
  </sheetViews>
  <sheetFormatPr baseColWidth="10" defaultRowHeight="15" x14ac:dyDescent="0.25"/>
  <cols>
    <col min="1" max="1" width="36.28515625" customWidth="1"/>
    <col min="2" max="2" width="30.5703125" customWidth="1"/>
    <col min="5" max="5" width="22.140625" bestFit="1" customWidth="1"/>
    <col min="8" max="8" width="40.42578125" customWidth="1"/>
  </cols>
  <sheetData>
    <row r="1" spans="1:8" ht="15.75" thickBot="1" x14ac:dyDescent="0.3">
      <c r="A1" s="219" t="s">
        <v>120</v>
      </c>
      <c r="B1" s="7"/>
    </row>
    <row r="2" spans="1:8" ht="15.75" thickBot="1" x14ac:dyDescent="0.3">
      <c r="A2" s="220"/>
      <c r="B2" s="3" t="s">
        <v>0</v>
      </c>
    </row>
    <row r="3" spans="1:8" ht="15.75" x14ac:dyDescent="0.3">
      <c r="A3" s="34" t="s">
        <v>1</v>
      </c>
      <c r="B3" s="89">
        <v>92.36</v>
      </c>
      <c r="C3" s="12">
        <f>+B3/100</f>
        <v>0.92359999999999998</v>
      </c>
    </row>
    <row r="4" spans="1:8" ht="16.5" thickBot="1" x14ac:dyDescent="0.35">
      <c r="A4" s="5" t="s">
        <v>2</v>
      </c>
      <c r="B4" s="90">
        <v>0.88</v>
      </c>
      <c r="C4" s="80">
        <f>+B4/100</f>
        <v>8.8000000000000005E-3</v>
      </c>
      <c r="F4" s="132">
        <v>42370</v>
      </c>
      <c r="G4" s="132">
        <v>42339</v>
      </c>
      <c r="H4" s="10"/>
    </row>
    <row r="5" spans="1:8" ht="15.75" x14ac:dyDescent="0.3">
      <c r="A5" s="5" t="s">
        <v>3</v>
      </c>
      <c r="B5" s="90">
        <v>0.88</v>
      </c>
      <c r="C5" s="80">
        <f t="shared" ref="C5:C28" si="0">+B5/100</f>
        <v>8.8000000000000005E-3</v>
      </c>
      <c r="E5" s="8" t="s">
        <v>21</v>
      </c>
      <c r="F5" s="9">
        <f>+C10+C8+C9</f>
        <v>0.41770000000000002</v>
      </c>
      <c r="G5" s="9">
        <v>0.46799999999999997</v>
      </c>
      <c r="H5" s="13">
        <f t="shared" ref="H5:H10" si="1">+F5-G5</f>
        <v>-5.0299999999999956E-2</v>
      </c>
    </row>
    <row r="6" spans="1:8" ht="15.75" x14ac:dyDescent="0.3">
      <c r="A6" s="5" t="s">
        <v>168</v>
      </c>
      <c r="B6" s="90" t="s">
        <v>139</v>
      </c>
      <c r="C6" s="80">
        <v>0</v>
      </c>
      <c r="E6" s="8" t="s">
        <v>22</v>
      </c>
      <c r="F6" s="9">
        <f>+C12+C11+C17+C15+C16+C18</f>
        <v>0.25600000000000001</v>
      </c>
      <c r="G6" s="9">
        <v>0.28010000000000002</v>
      </c>
      <c r="H6" s="13">
        <f t="shared" si="1"/>
        <v>-2.410000000000001E-2</v>
      </c>
    </row>
    <row r="7" spans="1:8" ht="15.75" x14ac:dyDescent="0.3">
      <c r="A7" s="5" t="s">
        <v>4</v>
      </c>
      <c r="B7" s="90">
        <v>91.51</v>
      </c>
      <c r="C7" s="80">
        <f>+B7/100</f>
        <v>0.91510000000000002</v>
      </c>
      <c r="E7" s="8" t="s">
        <v>23</v>
      </c>
      <c r="F7" s="9">
        <f>+C14</f>
        <v>0.23649999999999999</v>
      </c>
      <c r="G7" s="9">
        <v>0.1641</v>
      </c>
      <c r="H7" s="13">
        <f t="shared" si="1"/>
        <v>7.2399999999999992E-2</v>
      </c>
    </row>
    <row r="8" spans="1:8" ht="15.75" x14ac:dyDescent="0.3">
      <c r="A8" s="5" t="s">
        <v>5</v>
      </c>
      <c r="B8" s="90">
        <v>12.14</v>
      </c>
      <c r="C8" s="80">
        <f>+B8/100</f>
        <v>0.12140000000000001</v>
      </c>
      <c r="E8" s="8" t="s">
        <v>24</v>
      </c>
      <c r="F8" s="9">
        <f>+C13</f>
        <v>4.5999999999999999E-3</v>
      </c>
      <c r="G8" s="9">
        <v>5.6000000000000008E-3</v>
      </c>
      <c r="H8" s="13">
        <f t="shared" si="1"/>
        <v>-1.0000000000000009E-3</v>
      </c>
    </row>
    <row r="9" spans="1:8" ht="15.75" x14ac:dyDescent="0.3">
      <c r="A9" s="5" t="s">
        <v>6</v>
      </c>
      <c r="B9" s="90">
        <v>29.37</v>
      </c>
      <c r="C9" s="80">
        <f t="shared" si="0"/>
        <v>0.29370000000000002</v>
      </c>
      <c r="E9" s="8" t="s">
        <v>25</v>
      </c>
      <c r="F9" s="9">
        <f>+C4+C20</f>
        <v>4.4900000000000002E-2</v>
      </c>
      <c r="G9" s="9">
        <v>4.9200000000000008E-2</v>
      </c>
      <c r="H9" s="13">
        <f t="shared" si="1"/>
        <v>-4.3000000000000052E-3</v>
      </c>
    </row>
    <row r="10" spans="1:8" ht="16.5" thickBot="1" x14ac:dyDescent="0.35">
      <c r="A10" s="5" t="s">
        <v>7</v>
      </c>
      <c r="B10" s="90">
        <v>0.26</v>
      </c>
      <c r="C10" s="80">
        <f t="shared" si="0"/>
        <v>2.5999999999999999E-3</v>
      </c>
      <c r="E10" s="10" t="s">
        <v>26</v>
      </c>
      <c r="F10" s="11">
        <f>+C25+C24+C23</f>
        <v>4.0299999999999996E-2</v>
      </c>
      <c r="G10" s="11">
        <v>3.2799999999999996E-2</v>
      </c>
      <c r="H10" s="13">
        <f t="shared" si="1"/>
        <v>7.4999999999999997E-3</v>
      </c>
    </row>
    <row r="11" spans="1:8" ht="13.5" customHeight="1" x14ac:dyDescent="0.3">
      <c r="A11" s="5" t="s">
        <v>106</v>
      </c>
      <c r="B11" s="90">
        <v>9.41</v>
      </c>
      <c r="C11" s="80">
        <f t="shared" si="0"/>
        <v>9.4100000000000003E-2</v>
      </c>
      <c r="F11" s="9">
        <f>SUM(F5:F10)</f>
        <v>1</v>
      </c>
      <c r="G11" s="9">
        <f>SUM(G5:G10)</f>
        <v>0.99980000000000002</v>
      </c>
    </row>
    <row r="12" spans="1:8" ht="15.75" x14ac:dyDescent="0.3">
      <c r="A12" s="5" t="s">
        <v>8</v>
      </c>
      <c r="B12" s="90">
        <v>16.059999999999999</v>
      </c>
      <c r="C12" s="80">
        <f t="shared" si="0"/>
        <v>0.16059999999999999</v>
      </c>
    </row>
    <row r="13" spans="1:8" ht="16.5" thickBot="1" x14ac:dyDescent="0.35">
      <c r="A13" s="5" t="s">
        <v>9</v>
      </c>
      <c r="B13" s="90">
        <v>0.46</v>
      </c>
      <c r="C13" s="80">
        <f t="shared" si="0"/>
        <v>4.5999999999999999E-3</v>
      </c>
      <c r="F13" s="132">
        <v>42401</v>
      </c>
      <c r="G13" s="132">
        <v>42339</v>
      </c>
      <c r="H13" s="10"/>
    </row>
    <row r="14" spans="1:8" ht="15.75" x14ac:dyDescent="0.3">
      <c r="A14" s="5" t="s">
        <v>10</v>
      </c>
      <c r="B14" s="90">
        <v>23.65</v>
      </c>
      <c r="C14" s="80">
        <f t="shared" si="0"/>
        <v>0.23649999999999999</v>
      </c>
      <c r="E14" s="8" t="s">
        <v>21</v>
      </c>
      <c r="F14" s="14">
        <f>+C47</f>
        <v>8.6849315068493151</v>
      </c>
      <c r="G14" s="14">
        <v>9.0500000000000007</v>
      </c>
      <c r="H14" s="38">
        <f t="shared" ref="H14:H19" si="2">+F14-G14</f>
        <v>-0.36506849315068557</v>
      </c>
    </row>
    <row r="15" spans="1:8" ht="15.75" x14ac:dyDescent="0.3">
      <c r="A15" s="5" t="s">
        <v>11</v>
      </c>
      <c r="B15" s="90">
        <v>0.03</v>
      </c>
      <c r="C15" s="80">
        <f t="shared" si="0"/>
        <v>2.9999999999999997E-4</v>
      </c>
      <c r="E15" s="8" t="s">
        <v>22</v>
      </c>
      <c r="F15" s="14">
        <f>+G53</f>
        <v>7.9167270597200572</v>
      </c>
      <c r="G15" s="14">
        <v>7.9086423020120478</v>
      </c>
      <c r="H15" s="38">
        <f t="shared" si="2"/>
        <v>8.0847577080094268E-3</v>
      </c>
    </row>
    <row r="16" spans="1:8" ht="15.75" x14ac:dyDescent="0.3">
      <c r="A16" s="5" t="s">
        <v>169</v>
      </c>
      <c r="B16" s="90">
        <v>0.13</v>
      </c>
      <c r="C16" s="80">
        <f t="shared" si="0"/>
        <v>1.2999999999999999E-3</v>
      </c>
      <c r="E16" s="8" t="s">
        <v>23</v>
      </c>
      <c r="F16" s="14">
        <f>+C56</f>
        <v>0.59452054794520548</v>
      </c>
      <c r="G16" s="14">
        <v>0.78333333333333333</v>
      </c>
      <c r="H16" s="38">
        <f t="shared" si="2"/>
        <v>-0.18881278538812785</v>
      </c>
    </row>
    <row r="17" spans="1:8" ht="15.75" x14ac:dyDescent="0.3">
      <c r="A17" s="5" t="s">
        <v>12</v>
      </c>
      <c r="B17" s="90">
        <v>-0.04</v>
      </c>
      <c r="C17" s="80">
        <f t="shared" si="0"/>
        <v>-4.0000000000000002E-4</v>
      </c>
      <c r="E17" s="8" t="s">
        <v>24</v>
      </c>
      <c r="F17" s="14">
        <f>+C57</f>
        <v>4.2684931506849315</v>
      </c>
      <c r="G17" s="14">
        <v>4.2388888888888889</v>
      </c>
      <c r="H17" s="38">
        <f t="shared" si="2"/>
        <v>2.9604261796042586E-2</v>
      </c>
    </row>
    <row r="18" spans="1:8" ht="15.75" x14ac:dyDescent="0.3">
      <c r="A18" s="5" t="s">
        <v>170</v>
      </c>
      <c r="B18" s="90">
        <v>0.01</v>
      </c>
      <c r="C18" s="80">
        <f t="shared" si="0"/>
        <v>1E-4</v>
      </c>
      <c r="E18" s="8" t="s">
        <v>25</v>
      </c>
      <c r="F18" s="14">
        <v>0</v>
      </c>
      <c r="G18" s="14">
        <v>0</v>
      </c>
      <c r="H18" s="38">
        <f t="shared" si="2"/>
        <v>0</v>
      </c>
    </row>
    <row r="19" spans="1:8" ht="16.5" thickBot="1" x14ac:dyDescent="0.35">
      <c r="A19" s="4" t="s">
        <v>13</v>
      </c>
      <c r="B19" s="90">
        <v>7.64</v>
      </c>
      <c r="C19" s="80">
        <f>+B19/100</f>
        <v>7.6399999999999996E-2</v>
      </c>
      <c r="E19" s="10" t="s">
        <v>26</v>
      </c>
      <c r="F19" s="15">
        <f>+C62</f>
        <v>3.7479452054794522</v>
      </c>
      <c r="G19" s="15">
        <v>6.1138888888888889</v>
      </c>
      <c r="H19" s="38">
        <f t="shared" si="2"/>
        <v>-2.3659436834094367</v>
      </c>
    </row>
    <row r="20" spans="1:8" ht="15.75" x14ac:dyDescent="0.3">
      <c r="A20" s="5" t="s">
        <v>2</v>
      </c>
      <c r="B20" s="90">
        <v>3.61</v>
      </c>
      <c r="C20" s="80">
        <f t="shared" si="0"/>
        <v>3.61E-2</v>
      </c>
      <c r="E20" s="40" t="s">
        <v>114</v>
      </c>
      <c r="F20" s="14">
        <f>+SUMPRODUCT(F5:F10,F14:F19)/SUM(F5:F8,F10)</f>
        <v>6.2461097137077868</v>
      </c>
      <c r="G20" s="14">
        <v>7.156984054415009</v>
      </c>
    </row>
    <row r="21" spans="1:8" ht="15.75" x14ac:dyDescent="0.3">
      <c r="A21" s="5" t="s">
        <v>14</v>
      </c>
      <c r="B21" s="90" t="s">
        <v>139</v>
      </c>
      <c r="C21" s="80" t="e">
        <f t="shared" si="0"/>
        <v>#VALUE!</v>
      </c>
    </row>
    <row r="22" spans="1:8" ht="16.5" thickBot="1" x14ac:dyDescent="0.35">
      <c r="A22" s="5" t="s">
        <v>15</v>
      </c>
      <c r="B22" s="90">
        <v>3.61</v>
      </c>
      <c r="C22" s="80">
        <f t="shared" si="0"/>
        <v>3.61E-2</v>
      </c>
      <c r="F22" s="59">
        <f>+SUMPRODUCT(F5:F10,F14:F19)/SUM(F5:F8,F10)</f>
        <v>6.2461097137077868</v>
      </c>
      <c r="G22" s="59">
        <f>+SUMPRODUCT(G5:G10,G14:G19)/SUM(G5:G8,G10)</f>
        <v>7.156984054415009</v>
      </c>
    </row>
    <row r="23" spans="1:8" ht="15.75" x14ac:dyDescent="0.3">
      <c r="A23" s="5" t="s">
        <v>4</v>
      </c>
      <c r="B23" s="90">
        <v>4.0199999999999996</v>
      </c>
      <c r="C23" s="80">
        <f>+B23/100</f>
        <v>4.0199999999999993E-2</v>
      </c>
    </row>
    <row r="24" spans="1:8" ht="15.75" x14ac:dyDescent="0.3">
      <c r="A24" s="5" t="s">
        <v>12</v>
      </c>
      <c r="B24" s="90">
        <v>0.01</v>
      </c>
      <c r="C24" s="80">
        <f t="shared" si="0"/>
        <v>1E-4</v>
      </c>
    </row>
    <row r="25" spans="1:8" ht="15.75" x14ac:dyDescent="0.3">
      <c r="A25" s="5" t="s">
        <v>171</v>
      </c>
      <c r="B25" s="90">
        <v>0</v>
      </c>
      <c r="C25" s="80">
        <f t="shared" si="0"/>
        <v>0</v>
      </c>
    </row>
    <row r="26" spans="1:8" ht="15.75" x14ac:dyDescent="0.3">
      <c r="A26" s="4" t="s">
        <v>16</v>
      </c>
      <c r="B26" s="90">
        <v>100</v>
      </c>
      <c r="C26" s="80">
        <f>+B26/100</f>
        <v>1</v>
      </c>
      <c r="F26" s="65"/>
      <c r="G26" s="65"/>
    </row>
    <row r="27" spans="1:8" ht="15.75" x14ac:dyDescent="0.3">
      <c r="A27" s="4" t="s">
        <v>17</v>
      </c>
      <c r="B27" s="90">
        <v>4.49</v>
      </c>
      <c r="C27" s="12">
        <f t="shared" si="0"/>
        <v>4.4900000000000002E-2</v>
      </c>
    </row>
    <row r="28" spans="1:8" ht="15.75" x14ac:dyDescent="0.3">
      <c r="A28" s="4" t="s">
        <v>18</v>
      </c>
      <c r="B28" s="90">
        <v>95.53</v>
      </c>
      <c r="C28" s="12">
        <f t="shared" si="0"/>
        <v>0.95530000000000004</v>
      </c>
    </row>
    <row r="29" spans="1:8" ht="15.75" x14ac:dyDescent="0.3">
      <c r="A29" s="4" t="s">
        <v>19</v>
      </c>
      <c r="B29" s="90">
        <v>-0.03</v>
      </c>
      <c r="C29" s="12">
        <f>+B29/100</f>
        <v>-2.9999999999999997E-4</v>
      </c>
    </row>
    <row r="30" spans="1:8" ht="16.5" thickBot="1" x14ac:dyDescent="0.35">
      <c r="A30" s="6" t="s">
        <v>20</v>
      </c>
      <c r="B30" s="61">
        <v>0.01</v>
      </c>
      <c r="C30" s="12">
        <f>+B30/100</f>
        <v>1E-4</v>
      </c>
    </row>
    <row r="32" spans="1:8" ht="15.75" thickBot="1" x14ac:dyDescent="0.3">
      <c r="A32" s="67" t="s">
        <v>121</v>
      </c>
    </row>
    <row r="33" spans="1:3" ht="15.75" thickBot="1" x14ac:dyDescent="0.3">
      <c r="A33" s="3" t="s">
        <v>27</v>
      </c>
      <c r="B33" s="3" t="s">
        <v>28</v>
      </c>
    </row>
    <row r="34" spans="1:3" ht="15.75" x14ac:dyDescent="0.3">
      <c r="A34" s="5" t="s">
        <v>29</v>
      </c>
      <c r="B34" s="88">
        <v>1745</v>
      </c>
    </row>
    <row r="35" spans="1:3" ht="15.75" x14ac:dyDescent="0.3">
      <c r="A35" s="5" t="s">
        <v>30</v>
      </c>
      <c r="B35" s="91">
        <v>2662</v>
      </c>
    </row>
    <row r="36" spans="1:3" ht="15.75" x14ac:dyDescent="0.3">
      <c r="A36" s="5" t="s">
        <v>31</v>
      </c>
      <c r="B36" s="91">
        <v>677</v>
      </c>
    </row>
    <row r="37" spans="1:3" ht="15.75" x14ac:dyDescent="0.3">
      <c r="A37" s="5" t="s">
        <v>119</v>
      </c>
      <c r="B37" s="91">
        <v>19</v>
      </c>
    </row>
    <row r="38" spans="1:3" ht="15.75" x14ac:dyDescent="0.3">
      <c r="A38" s="5" t="s">
        <v>32</v>
      </c>
      <c r="B38" s="91">
        <v>824</v>
      </c>
    </row>
    <row r="39" spans="1:3" ht="15.75" x14ac:dyDescent="0.3">
      <c r="A39" s="5" t="s">
        <v>33</v>
      </c>
      <c r="B39" s="91">
        <v>2024</v>
      </c>
    </row>
    <row r="40" spans="1:3" ht="15.75" x14ac:dyDescent="0.3">
      <c r="A40" s="5" t="s">
        <v>126</v>
      </c>
      <c r="B40" s="91">
        <v>3121</v>
      </c>
    </row>
    <row r="41" spans="1:3" ht="15.75" x14ac:dyDescent="0.3">
      <c r="A41" s="5" t="s">
        <v>34</v>
      </c>
      <c r="B41" s="91">
        <v>3566</v>
      </c>
    </row>
    <row r="42" spans="1:3" ht="15.75" x14ac:dyDescent="0.3">
      <c r="A42" s="5" t="s">
        <v>35</v>
      </c>
      <c r="B42" s="91">
        <v>3702</v>
      </c>
    </row>
    <row r="43" spans="1:3" ht="15.75" x14ac:dyDescent="0.3">
      <c r="A43" s="5" t="s">
        <v>36</v>
      </c>
      <c r="B43" s="91">
        <v>3663</v>
      </c>
    </row>
    <row r="44" spans="1:3" ht="15.75" x14ac:dyDescent="0.3">
      <c r="A44" s="5" t="s">
        <v>37</v>
      </c>
      <c r="B44" s="91">
        <v>857</v>
      </c>
    </row>
    <row r="45" spans="1:3" ht="15.75" x14ac:dyDescent="0.3">
      <c r="A45" s="5" t="s">
        <v>38</v>
      </c>
      <c r="B45" s="91">
        <v>2381</v>
      </c>
    </row>
    <row r="46" spans="1:3" ht="15.75" x14ac:dyDescent="0.3">
      <c r="A46" s="5" t="s">
        <v>39</v>
      </c>
      <c r="B46" s="91">
        <v>1018</v>
      </c>
    </row>
    <row r="47" spans="1:3" ht="15.75" x14ac:dyDescent="0.3">
      <c r="A47" s="4" t="s">
        <v>40</v>
      </c>
      <c r="B47" s="91">
        <v>3170</v>
      </c>
      <c r="C47" s="16">
        <f>+B47/365</f>
        <v>8.6849315068493151</v>
      </c>
    </row>
    <row r="48" spans="1:3" ht="15.75" x14ac:dyDescent="0.3">
      <c r="A48" s="5" t="s">
        <v>167</v>
      </c>
      <c r="B48" s="91" t="s">
        <v>139</v>
      </c>
    </row>
    <row r="49" spans="1:11" ht="15.75" x14ac:dyDescent="0.3">
      <c r="A49" s="5" t="s">
        <v>41</v>
      </c>
      <c r="B49" s="91">
        <v>1201</v>
      </c>
    </row>
    <row r="50" spans="1:11" ht="15.75" x14ac:dyDescent="0.3">
      <c r="A50" s="5" t="s">
        <v>42</v>
      </c>
      <c r="B50" s="91">
        <v>3405</v>
      </c>
    </row>
    <row r="51" spans="1:11" ht="15.75" x14ac:dyDescent="0.3">
      <c r="A51" s="4" t="s">
        <v>43</v>
      </c>
      <c r="B51" s="91">
        <v>3396</v>
      </c>
    </row>
    <row r="52" spans="1:11" ht="16.5" thickBot="1" x14ac:dyDescent="0.35">
      <c r="A52" s="56" t="s">
        <v>44</v>
      </c>
      <c r="B52" s="91">
        <v>2287</v>
      </c>
      <c r="C52" s="13">
        <f>+C11</f>
        <v>9.4100000000000003E-2</v>
      </c>
      <c r="D52">
        <f>+B51</f>
        <v>3396</v>
      </c>
      <c r="H52" s="51" t="s">
        <v>118</v>
      </c>
    </row>
    <row r="53" spans="1:11" ht="16.5" thickBot="1" x14ac:dyDescent="0.35">
      <c r="A53" s="56" t="s">
        <v>152</v>
      </c>
      <c r="B53" s="91">
        <v>2232</v>
      </c>
      <c r="C53" s="13">
        <f>+C12</f>
        <v>0.16059999999999999</v>
      </c>
      <c r="D53" s="78">
        <f>+SUMPRODUCT(B52:B54,K53:K55)/SUM(K53:K55)</f>
        <v>2592.8947040498442</v>
      </c>
      <c r="E53" s="36">
        <f>+SUMPRODUCT(C52:C53,D52:D53)/SUM(C52:C53)</f>
        <v>2889.605376797821</v>
      </c>
      <c r="G53" s="35">
        <f>+E53/365</f>
        <v>7.9167270597200572</v>
      </c>
      <c r="H53" s="77">
        <v>14.21</v>
      </c>
      <c r="J53" s="130" t="s">
        <v>44</v>
      </c>
      <c r="K53" s="3">
        <v>13.46</v>
      </c>
    </row>
    <row r="54" spans="1:11" ht="16.5" thickBot="1" x14ac:dyDescent="0.35">
      <c r="A54" s="5" t="s">
        <v>45</v>
      </c>
      <c r="B54" s="91">
        <v>4221</v>
      </c>
      <c r="H54" s="77">
        <v>2.14</v>
      </c>
      <c r="J54" s="130" t="s">
        <v>152</v>
      </c>
      <c r="K54" s="3">
        <v>0.05</v>
      </c>
    </row>
    <row r="55" spans="1:11" ht="16.5" thickBot="1" x14ac:dyDescent="0.35">
      <c r="A55" s="5" t="s">
        <v>46</v>
      </c>
      <c r="B55" s="91">
        <v>217</v>
      </c>
      <c r="C55" s="16"/>
      <c r="H55" s="77">
        <v>0.05</v>
      </c>
      <c r="J55" s="130" t="s">
        <v>45</v>
      </c>
      <c r="K55" s="3">
        <v>2.54</v>
      </c>
    </row>
    <row r="56" spans="1:11" ht="15.75" x14ac:dyDescent="0.3">
      <c r="A56" s="5" t="s">
        <v>47</v>
      </c>
      <c r="B56" s="91">
        <v>1558</v>
      </c>
      <c r="C56" s="16">
        <f>+B55/365</f>
        <v>0.59452054794520548</v>
      </c>
    </row>
    <row r="57" spans="1:11" ht="15.75" x14ac:dyDescent="0.3">
      <c r="A57" s="4" t="s">
        <v>48</v>
      </c>
      <c r="B57" s="91">
        <v>1183</v>
      </c>
      <c r="C57" s="16">
        <f>+B56/365</f>
        <v>4.2684931506849315</v>
      </c>
    </row>
    <row r="58" spans="1:11" ht="15.75" x14ac:dyDescent="0.3">
      <c r="A58" s="5" t="s">
        <v>49</v>
      </c>
      <c r="B58" s="91">
        <v>3224</v>
      </c>
      <c r="C58" s="16"/>
    </row>
    <row r="59" spans="1:11" ht="15.75" x14ac:dyDescent="0.3">
      <c r="A59" s="5" t="s">
        <v>50</v>
      </c>
      <c r="B59" s="91">
        <v>1342</v>
      </c>
      <c r="C59" s="16"/>
    </row>
    <row r="60" spans="1:11" ht="16.5" thickBot="1" x14ac:dyDescent="0.35">
      <c r="A60" s="6" t="s">
        <v>52</v>
      </c>
      <c r="B60" s="91">
        <v>1368</v>
      </c>
      <c r="C60" s="16"/>
    </row>
    <row r="61" spans="1:11" ht="16.5" thickBot="1" x14ac:dyDescent="0.35">
      <c r="A61" t="s">
        <v>141</v>
      </c>
      <c r="B61" s="62">
        <v>2295</v>
      </c>
      <c r="C61" s="16"/>
    </row>
    <row r="62" spans="1:11" x14ac:dyDescent="0.25">
      <c r="B62">
        <f>+B61/365</f>
        <v>6.2876712328767121</v>
      </c>
      <c r="C62" s="16">
        <f>+B60/365</f>
        <v>3.7479452054794522</v>
      </c>
    </row>
    <row r="65" spans="1:2" ht="19.5" customHeight="1" x14ac:dyDescent="0.25">
      <c r="A65" s="21">
        <v>-1</v>
      </c>
      <c r="B65" s="22" t="s">
        <v>174</v>
      </c>
    </row>
    <row r="66" spans="1:2" x14ac:dyDescent="0.25">
      <c r="A66" s="21" t="s">
        <v>172</v>
      </c>
      <c r="B66" s="22" t="s">
        <v>175</v>
      </c>
    </row>
    <row r="67" spans="1:2" ht="27" x14ac:dyDescent="0.25">
      <c r="A67" s="21" t="s">
        <v>63</v>
      </c>
      <c r="B67" s="22" t="s">
        <v>64</v>
      </c>
    </row>
    <row r="68" spans="1:2" ht="27" x14ac:dyDescent="0.25">
      <c r="A68" s="21" t="s">
        <v>65</v>
      </c>
      <c r="B68" s="22" t="s">
        <v>66</v>
      </c>
    </row>
    <row r="69" spans="1:2" ht="27" x14ac:dyDescent="0.25">
      <c r="A69" s="21" t="s">
        <v>67</v>
      </c>
      <c r="B69" s="22" t="s">
        <v>68</v>
      </c>
    </row>
    <row r="70" spans="1:2" x14ac:dyDescent="0.25">
      <c r="A70" s="21" t="s">
        <v>127</v>
      </c>
      <c r="B70" s="22" t="s">
        <v>128</v>
      </c>
    </row>
    <row r="71" spans="1:2" ht="27" x14ac:dyDescent="0.25">
      <c r="A71" s="21" t="s">
        <v>69</v>
      </c>
      <c r="B71" s="22" t="s">
        <v>70</v>
      </c>
    </row>
    <row r="72" spans="1:2" ht="27" x14ac:dyDescent="0.25">
      <c r="A72" s="21" t="s">
        <v>71</v>
      </c>
      <c r="B72" s="22" t="s">
        <v>72</v>
      </c>
    </row>
    <row r="73" spans="1:2" ht="27" x14ac:dyDescent="0.25">
      <c r="A73" s="21" t="s">
        <v>153</v>
      </c>
      <c r="B73" s="22" t="s">
        <v>176</v>
      </c>
    </row>
    <row r="74" spans="1:2" ht="40.5" x14ac:dyDescent="0.25">
      <c r="A74" s="21" t="s">
        <v>73</v>
      </c>
      <c r="B74" s="22" t="s">
        <v>74</v>
      </c>
    </row>
    <row r="75" spans="1:2" ht="27" x14ac:dyDescent="0.25">
      <c r="A75" s="21" t="s">
        <v>75</v>
      </c>
      <c r="B75" s="22" t="s">
        <v>76</v>
      </c>
    </row>
    <row r="76" spans="1:2" ht="27" x14ac:dyDescent="0.25">
      <c r="A76" s="21" t="s">
        <v>77</v>
      </c>
      <c r="B76" s="22" t="s">
        <v>78</v>
      </c>
    </row>
    <row r="77" spans="1:2" ht="27" x14ac:dyDescent="0.25">
      <c r="A77" s="21" t="s">
        <v>79</v>
      </c>
      <c r="B77" s="22" t="s">
        <v>80</v>
      </c>
    </row>
    <row r="78" spans="1:2" x14ac:dyDescent="0.25">
      <c r="A78" s="21" t="s">
        <v>81</v>
      </c>
      <c r="B78" s="22" t="s">
        <v>82</v>
      </c>
    </row>
    <row r="79" spans="1:2" ht="27" x14ac:dyDescent="0.25">
      <c r="A79" s="21" t="s">
        <v>83</v>
      </c>
      <c r="B79" s="22" t="s">
        <v>84</v>
      </c>
    </row>
    <row r="80" spans="1:2" x14ac:dyDescent="0.25">
      <c r="A80" s="21" t="s">
        <v>85</v>
      </c>
      <c r="B80" s="22" t="s">
        <v>86</v>
      </c>
    </row>
    <row r="81" spans="1:2" ht="27" x14ac:dyDescent="0.25">
      <c r="A81" s="21" t="s">
        <v>87</v>
      </c>
      <c r="B81" s="22" t="s">
        <v>88</v>
      </c>
    </row>
    <row r="82" spans="1:2" ht="40.5" x14ac:dyDescent="0.25">
      <c r="A82" s="21" t="s">
        <v>89</v>
      </c>
      <c r="B82" s="22" t="s">
        <v>90</v>
      </c>
    </row>
    <row r="83" spans="1:2" ht="27" x14ac:dyDescent="0.25">
      <c r="A83" s="21" t="s">
        <v>93</v>
      </c>
      <c r="B83" s="22" t="s">
        <v>94</v>
      </c>
    </row>
    <row r="84" spans="1:2" x14ac:dyDescent="0.25">
      <c r="A84" s="21" t="s">
        <v>95</v>
      </c>
      <c r="B84" s="22" t="s">
        <v>96</v>
      </c>
    </row>
    <row r="85" spans="1:2" ht="27" x14ac:dyDescent="0.25">
      <c r="A85" s="21" t="s">
        <v>97</v>
      </c>
      <c r="B85" s="22" t="s">
        <v>98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V60"/>
  <sheetViews>
    <sheetView topLeftCell="V17" zoomScale="85" zoomScaleNormal="85" workbookViewId="0">
      <selection activeCell="AS3" activeCellId="1" sqref="AI3:AJ41 AS3:AS41"/>
    </sheetView>
  </sheetViews>
  <sheetFormatPr baseColWidth="10" defaultRowHeight="15" x14ac:dyDescent="0.25"/>
  <cols>
    <col min="1" max="1" width="16.42578125" bestFit="1" customWidth="1"/>
  </cols>
  <sheetData>
    <row r="1" spans="1:48" ht="27.75" thickBot="1" x14ac:dyDescent="0.3">
      <c r="A1" s="226"/>
      <c r="B1" s="223" t="s">
        <v>131</v>
      </c>
      <c r="C1" s="224"/>
      <c r="D1" s="223" t="s">
        <v>132</v>
      </c>
      <c r="E1" s="224"/>
      <c r="F1" s="223" t="s">
        <v>133</v>
      </c>
      <c r="G1" s="224"/>
      <c r="H1" s="223" t="s">
        <v>134</v>
      </c>
      <c r="I1" s="224"/>
      <c r="J1" s="223" t="s">
        <v>135</v>
      </c>
      <c r="K1" s="224"/>
      <c r="L1" s="223" t="s">
        <v>136</v>
      </c>
      <c r="M1" s="224"/>
      <c r="N1" s="223" t="s">
        <v>137</v>
      </c>
      <c r="O1" s="224"/>
      <c r="Q1" s="131" t="s">
        <v>27</v>
      </c>
      <c r="R1" s="131" t="s">
        <v>140</v>
      </c>
      <c r="S1" s="131" t="s">
        <v>149</v>
      </c>
      <c r="T1" s="131" t="s">
        <v>150</v>
      </c>
      <c r="U1" s="131" t="s">
        <v>151</v>
      </c>
      <c r="V1" s="131" t="s">
        <v>28</v>
      </c>
      <c r="W1" s="131" t="s">
        <v>173</v>
      </c>
      <c r="Y1" s="221" t="s">
        <v>27</v>
      </c>
      <c r="Z1" s="131" t="s">
        <v>140</v>
      </c>
      <c r="AA1" s="131" t="s">
        <v>149</v>
      </c>
      <c r="AB1" s="131" t="s">
        <v>150</v>
      </c>
      <c r="AC1" s="131" t="s">
        <v>151</v>
      </c>
      <c r="AD1" s="131" t="s">
        <v>28</v>
      </c>
      <c r="AE1" s="223" t="s">
        <v>137</v>
      </c>
      <c r="AF1" s="225"/>
      <c r="AG1" s="224"/>
      <c r="AI1" s="221" t="s">
        <v>142</v>
      </c>
      <c r="AJ1" s="221" t="s">
        <v>143</v>
      </c>
      <c r="AK1" s="223" t="s">
        <v>140</v>
      </c>
      <c r="AL1" s="224"/>
      <c r="AM1" s="223" t="s">
        <v>149</v>
      </c>
      <c r="AN1" s="224"/>
      <c r="AO1" s="223" t="s">
        <v>150</v>
      </c>
      <c r="AP1" s="224"/>
      <c r="AQ1" s="223" t="s">
        <v>151</v>
      </c>
      <c r="AR1" s="224"/>
      <c r="AS1" s="223" t="s">
        <v>28</v>
      </c>
      <c r="AT1" s="224"/>
      <c r="AU1" s="223" t="s">
        <v>137</v>
      </c>
      <c r="AV1" s="224"/>
    </row>
    <row r="2" spans="1:48" ht="27.75" thickBot="1" x14ac:dyDescent="0.3">
      <c r="A2" s="227"/>
      <c r="B2" s="126" t="s">
        <v>138</v>
      </c>
      <c r="C2" s="126" t="s">
        <v>0</v>
      </c>
      <c r="D2" s="126" t="s">
        <v>138</v>
      </c>
      <c r="E2" s="126" t="s">
        <v>0</v>
      </c>
      <c r="F2" s="126" t="s">
        <v>138</v>
      </c>
      <c r="G2" s="126" t="s">
        <v>0</v>
      </c>
      <c r="H2" s="126" t="s">
        <v>138</v>
      </c>
      <c r="I2" s="126" t="s">
        <v>0</v>
      </c>
      <c r="J2" s="126" t="s">
        <v>138</v>
      </c>
      <c r="K2" s="126" t="s">
        <v>0</v>
      </c>
      <c r="L2" s="126" t="s">
        <v>138</v>
      </c>
      <c r="M2" s="126" t="s">
        <v>0</v>
      </c>
      <c r="N2" s="126" t="s">
        <v>138</v>
      </c>
      <c r="O2" s="126" t="s">
        <v>0</v>
      </c>
      <c r="Q2" s="130" t="s">
        <v>29</v>
      </c>
      <c r="R2" s="3">
        <v>1830</v>
      </c>
      <c r="S2" s="3">
        <v>1624</v>
      </c>
      <c r="T2" s="3">
        <v>1656</v>
      </c>
      <c r="U2" s="3">
        <v>1639</v>
      </c>
      <c r="V2" s="3">
        <v>1745</v>
      </c>
      <c r="W2" s="3">
        <v>1675</v>
      </c>
      <c r="Y2" s="222"/>
      <c r="Z2" s="126" t="s">
        <v>0</v>
      </c>
      <c r="AA2" s="126" t="s">
        <v>0</v>
      </c>
      <c r="AB2" s="126" t="s">
        <v>0</v>
      </c>
      <c r="AC2" s="126" t="s">
        <v>0</v>
      </c>
      <c r="AD2" s="126" t="s">
        <v>0</v>
      </c>
      <c r="AE2" s="126" t="s">
        <v>0</v>
      </c>
      <c r="AF2" s="126" t="s">
        <v>177</v>
      </c>
      <c r="AG2" s="126" t="s">
        <v>138</v>
      </c>
      <c r="AI2" s="222"/>
      <c r="AJ2" s="222"/>
      <c r="AK2" s="126" t="s">
        <v>54</v>
      </c>
      <c r="AL2" s="126" t="s">
        <v>144</v>
      </c>
      <c r="AM2" s="126" t="s">
        <v>54</v>
      </c>
      <c r="AN2" s="126" t="s">
        <v>144</v>
      </c>
      <c r="AO2" s="126" t="s">
        <v>54</v>
      </c>
      <c r="AP2" s="126" t="s">
        <v>144</v>
      </c>
      <c r="AQ2" s="126" t="s">
        <v>54</v>
      </c>
      <c r="AR2" s="126" t="s">
        <v>144</v>
      </c>
      <c r="AS2" s="126" t="s">
        <v>54</v>
      </c>
      <c r="AT2" s="126" t="s">
        <v>144</v>
      </c>
      <c r="AU2" s="126" t="s">
        <v>54</v>
      </c>
      <c r="AV2" s="126" t="s">
        <v>144</v>
      </c>
    </row>
    <row r="3" spans="1:48" ht="41.25" customHeight="1" thickBot="1" x14ac:dyDescent="0.3">
      <c r="A3" s="128" t="s">
        <v>1</v>
      </c>
      <c r="B3" s="129">
        <v>3910.97</v>
      </c>
      <c r="C3" s="3">
        <v>92.91</v>
      </c>
      <c r="D3" s="129">
        <v>6620.78</v>
      </c>
      <c r="E3" s="3">
        <v>92.91</v>
      </c>
      <c r="F3" s="129">
        <v>6223.58</v>
      </c>
      <c r="G3" s="3">
        <v>90.49</v>
      </c>
      <c r="H3" s="3">
        <v>473.32</v>
      </c>
      <c r="I3" s="3">
        <v>96.28</v>
      </c>
      <c r="J3" s="3">
        <v>491.22</v>
      </c>
      <c r="K3" s="3">
        <v>93.8</v>
      </c>
      <c r="L3" s="129">
        <v>4336.3100000000004</v>
      </c>
      <c r="M3" s="3">
        <v>93.21</v>
      </c>
      <c r="N3" s="129">
        <v>22056.18</v>
      </c>
      <c r="O3" s="3">
        <v>92.36</v>
      </c>
      <c r="Q3" s="130" t="s">
        <v>30</v>
      </c>
      <c r="R3" s="3">
        <v>4991</v>
      </c>
      <c r="S3" s="3">
        <v>2667</v>
      </c>
      <c r="T3" s="3">
        <v>3482</v>
      </c>
      <c r="U3" s="3">
        <v>2809</v>
      </c>
      <c r="V3" s="3">
        <v>2662</v>
      </c>
      <c r="W3" s="3">
        <v>3021</v>
      </c>
      <c r="Y3" s="130" t="s">
        <v>29</v>
      </c>
      <c r="Z3" s="3">
        <v>0.06</v>
      </c>
      <c r="AA3" s="3">
        <v>0.55000000000000004</v>
      </c>
      <c r="AB3" s="3">
        <v>0.97</v>
      </c>
      <c r="AC3" s="3">
        <v>1.53</v>
      </c>
      <c r="AD3" s="3">
        <v>1.71</v>
      </c>
      <c r="AE3" s="3">
        <v>0.99</v>
      </c>
      <c r="AF3" s="129">
        <v>1054751.1499999999</v>
      </c>
      <c r="AG3" s="129">
        <v>1481.97</v>
      </c>
      <c r="AI3" s="133" t="s">
        <v>55</v>
      </c>
      <c r="AJ3" s="221" t="s">
        <v>56</v>
      </c>
      <c r="AK3" s="219">
        <v>0</v>
      </c>
      <c r="AL3" s="219">
        <v>0.94</v>
      </c>
      <c r="AM3" s="219">
        <v>0.02</v>
      </c>
      <c r="AN3" s="219">
        <v>0.94</v>
      </c>
      <c r="AO3" s="219">
        <v>0.01</v>
      </c>
      <c r="AP3" s="219">
        <v>0.94</v>
      </c>
      <c r="AQ3" s="219">
        <v>0.01</v>
      </c>
      <c r="AR3" s="219">
        <v>0.94</v>
      </c>
      <c r="AS3" s="219" t="s">
        <v>139</v>
      </c>
      <c r="AT3" s="219" t="s">
        <v>139</v>
      </c>
      <c r="AU3" s="219">
        <v>0.01</v>
      </c>
      <c r="AV3" s="219">
        <v>0.94</v>
      </c>
    </row>
    <row r="4" spans="1:48" ht="27.75" customHeight="1" thickBot="1" x14ac:dyDescent="0.3">
      <c r="A4" s="130" t="s">
        <v>2</v>
      </c>
      <c r="B4" s="3">
        <v>30.55</v>
      </c>
      <c r="C4" s="3">
        <v>0.73</v>
      </c>
      <c r="D4" s="3">
        <v>64.91</v>
      </c>
      <c r="E4" s="3">
        <v>0.91</v>
      </c>
      <c r="F4" s="3">
        <v>67.92</v>
      </c>
      <c r="G4" s="3">
        <v>0.99</v>
      </c>
      <c r="H4" s="3">
        <v>4.1500000000000004</v>
      </c>
      <c r="I4" s="3">
        <v>0.84</v>
      </c>
      <c r="J4" s="3">
        <v>3.84</v>
      </c>
      <c r="K4" s="3">
        <v>0.73</v>
      </c>
      <c r="L4" s="3">
        <v>39.229999999999997</v>
      </c>
      <c r="M4" s="3">
        <v>0.84</v>
      </c>
      <c r="N4" s="3">
        <v>210.59</v>
      </c>
      <c r="O4" s="3">
        <v>0.88</v>
      </c>
      <c r="Q4" s="130" t="s">
        <v>31</v>
      </c>
      <c r="R4" s="3">
        <v>990</v>
      </c>
      <c r="S4" s="3">
        <v>929</v>
      </c>
      <c r="T4" s="3">
        <v>1103</v>
      </c>
      <c r="U4" s="3">
        <v>570</v>
      </c>
      <c r="V4" s="3">
        <v>677</v>
      </c>
      <c r="W4" s="3">
        <v>941</v>
      </c>
      <c r="Y4" s="130" t="s">
        <v>30</v>
      </c>
      <c r="Z4" s="3">
        <v>0.26</v>
      </c>
      <c r="AA4" s="3">
        <v>2.76</v>
      </c>
      <c r="AB4" s="3">
        <v>4.58</v>
      </c>
      <c r="AC4" s="3">
        <v>6.51</v>
      </c>
      <c r="AD4" s="3">
        <v>8.09</v>
      </c>
      <c r="AE4" s="3">
        <v>4.55</v>
      </c>
      <c r="AF4" s="129">
        <v>4868470.3499999996</v>
      </c>
      <c r="AG4" s="129">
        <v>6840.43</v>
      </c>
      <c r="AI4" s="134" t="s">
        <v>167</v>
      </c>
      <c r="AJ4" s="222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</row>
    <row r="5" spans="1:48" ht="15.75" thickBot="1" x14ac:dyDescent="0.3">
      <c r="A5" s="130" t="s">
        <v>3</v>
      </c>
      <c r="B5" s="3">
        <v>30.55</v>
      </c>
      <c r="C5" s="3">
        <v>0.73</v>
      </c>
      <c r="D5" s="3">
        <v>64.91</v>
      </c>
      <c r="E5" s="3">
        <v>0.91</v>
      </c>
      <c r="F5" s="3">
        <v>67.92</v>
      </c>
      <c r="G5" s="3">
        <v>0.99</v>
      </c>
      <c r="H5" s="3">
        <v>4.1500000000000004</v>
      </c>
      <c r="I5" s="3">
        <v>0.84</v>
      </c>
      <c r="J5" s="3">
        <v>3.84</v>
      </c>
      <c r="K5" s="3">
        <v>0.73</v>
      </c>
      <c r="L5" s="3">
        <v>39.229999999999997</v>
      </c>
      <c r="M5" s="3">
        <v>0.84</v>
      </c>
      <c r="N5" s="3">
        <v>210.59</v>
      </c>
      <c r="O5" s="3">
        <v>0.88</v>
      </c>
      <c r="Q5" s="130" t="s">
        <v>119</v>
      </c>
      <c r="R5" s="3">
        <v>11</v>
      </c>
      <c r="S5" s="3">
        <v>48</v>
      </c>
      <c r="T5" s="3">
        <v>7</v>
      </c>
      <c r="U5" s="3">
        <v>34</v>
      </c>
      <c r="V5" s="3">
        <v>19</v>
      </c>
      <c r="W5" s="3">
        <v>23</v>
      </c>
      <c r="Y5" s="130" t="s">
        <v>31</v>
      </c>
      <c r="Z5" s="3">
        <v>0.04</v>
      </c>
      <c r="AA5" s="3">
        <v>0.01</v>
      </c>
      <c r="AB5" s="3">
        <v>0.05</v>
      </c>
      <c r="AC5" s="3">
        <v>0.04</v>
      </c>
      <c r="AD5" s="3">
        <v>0.02</v>
      </c>
      <c r="AE5" s="3">
        <v>0.04</v>
      </c>
      <c r="AF5" s="129">
        <v>38899.589999999997</v>
      </c>
      <c r="AG5" s="3">
        <v>54.66</v>
      </c>
      <c r="AI5" s="130" t="s">
        <v>29</v>
      </c>
      <c r="AJ5" s="131" t="s">
        <v>56</v>
      </c>
      <c r="AK5" s="3">
        <v>0.06</v>
      </c>
      <c r="AL5" s="3">
        <v>4.32</v>
      </c>
      <c r="AM5" s="3">
        <v>0.55000000000000004</v>
      </c>
      <c r="AN5" s="3">
        <v>4.2699999999999996</v>
      </c>
      <c r="AO5" s="3">
        <v>0.97</v>
      </c>
      <c r="AP5" s="3">
        <v>4.29</v>
      </c>
      <c r="AQ5" s="3">
        <v>1.53</v>
      </c>
      <c r="AR5" s="3">
        <v>4.29</v>
      </c>
      <c r="AS5" s="3">
        <v>1.71</v>
      </c>
      <c r="AT5" s="3">
        <v>4.3099999999999996</v>
      </c>
      <c r="AU5" s="3">
        <v>0.99</v>
      </c>
      <c r="AV5" s="3">
        <v>4.29</v>
      </c>
    </row>
    <row r="6" spans="1:48" ht="41.25" thickBot="1" x14ac:dyDescent="0.3">
      <c r="A6" s="130" t="s">
        <v>168</v>
      </c>
      <c r="B6" s="3" t="s">
        <v>139</v>
      </c>
      <c r="C6" s="3" t="s">
        <v>139</v>
      </c>
      <c r="D6" s="3" t="s">
        <v>139</v>
      </c>
      <c r="E6" s="3" t="s">
        <v>139</v>
      </c>
      <c r="F6" s="3" t="s">
        <v>139</v>
      </c>
      <c r="G6" s="3" t="s">
        <v>139</v>
      </c>
      <c r="H6" s="3" t="s">
        <v>139</v>
      </c>
      <c r="I6" s="3" t="s">
        <v>139</v>
      </c>
      <c r="J6" s="3" t="s">
        <v>139</v>
      </c>
      <c r="K6" s="3" t="s">
        <v>139</v>
      </c>
      <c r="L6" s="3" t="s">
        <v>139</v>
      </c>
      <c r="M6" s="3" t="s">
        <v>139</v>
      </c>
      <c r="N6" s="3" t="s">
        <v>139</v>
      </c>
      <c r="O6" s="3" t="s">
        <v>139</v>
      </c>
      <c r="Q6" s="130" t="s">
        <v>32</v>
      </c>
      <c r="R6" s="3">
        <v>1049</v>
      </c>
      <c r="S6" s="3">
        <v>934</v>
      </c>
      <c r="T6" s="3">
        <v>560</v>
      </c>
      <c r="U6" s="3">
        <v>822</v>
      </c>
      <c r="V6" s="3">
        <v>824</v>
      </c>
      <c r="W6" s="3">
        <v>756</v>
      </c>
      <c r="Y6" s="130" t="s">
        <v>119</v>
      </c>
      <c r="Z6" s="3">
        <v>0.12</v>
      </c>
      <c r="AA6" s="3">
        <v>0.37</v>
      </c>
      <c r="AB6" s="3">
        <v>0.09</v>
      </c>
      <c r="AC6" s="3">
        <v>0.5</v>
      </c>
      <c r="AD6" s="3">
        <v>2.3199999999999998</v>
      </c>
      <c r="AE6" s="3">
        <v>0.56000000000000005</v>
      </c>
      <c r="AF6" s="129">
        <v>601729.05000000005</v>
      </c>
      <c r="AG6" s="3">
        <v>845.46</v>
      </c>
      <c r="AI6" s="130" t="s">
        <v>41</v>
      </c>
      <c r="AJ6" s="131" t="s">
        <v>56</v>
      </c>
      <c r="AK6" s="3">
        <v>0</v>
      </c>
      <c r="AL6" s="3">
        <v>6.22</v>
      </c>
      <c r="AM6" s="3">
        <v>0</v>
      </c>
      <c r="AN6" s="3">
        <v>6.22</v>
      </c>
      <c r="AO6" s="3">
        <v>0</v>
      </c>
      <c r="AP6" s="3">
        <v>6.22</v>
      </c>
      <c r="AQ6" s="3">
        <v>0</v>
      </c>
      <c r="AR6" s="3">
        <v>6.22</v>
      </c>
      <c r="AS6" s="3">
        <v>0.02</v>
      </c>
      <c r="AT6" s="3">
        <v>6.82</v>
      </c>
      <c r="AU6" s="3">
        <v>0</v>
      </c>
      <c r="AV6" s="3">
        <v>6.61</v>
      </c>
    </row>
    <row r="7" spans="1:48" ht="41.25" thickBot="1" x14ac:dyDescent="0.3">
      <c r="A7" s="130" t="s">
        <v>4</v>
      </c>
      <c r="B7" s="129">
        <v>3874.17</v>
      </c>
      <c r="C7" s="3">
        <v>92.04</v>
      </c>
      <c r="D7" s="129">
        <v>6576.7</v>
      </c>
      <c r="E7" s="3">
        <v>92.29</v>
      </c>
      <c r="F7" s="129">
        <v>6143.64</v>
      </c>
      <c r="G7" s="3">
        <v>89.32</v>
      </c>
      <c r="H7" s="3">
        <v>468.81</v>
      </c>
      <c r="I7" s="3">
        <v>95.36</v>
      </c>
      <c r="J7" s="3">
        <v>487.18</v>
      </c>
      <c r="K7" s="3">
        <v>93.03</v>
      </c>
      <c r="L7" s="129">
        <v>4302.88</v>
      </c>
      <c r="M7" s="3">
        <v>92.49</v>
      </c>
      <c r="N7" s="129">
        <v>21853.37</v>
      </c>
      <c r="O7" s="3">
        <v>91.51</v>
      </c>
      <c r="Q7" s="130" t="s">
        <v>33</v>
      </c>
      <c r="R7" s="3">
        <v>2990</v>
      </c>
      <c r="S7" s="3">
        <v>2239</v>
      </c>
      <c r="T7" s="3">
        <v>3092</v>
      </c>
      <c r="U7" s="3">
        <v>2426</v>
      </c>
      <c r="V7" s="3">
        <v>2024</v>
      </c>
      <c r="W7" s="3">
        <v>2516</v>
      </c>
      <c r="Y7" s="130" t="s">
        <v>32</v>
      </c>
      <c r="Z7" s="3">
        <v>0</v>
      </c>
      <c r="AA7" s="3">
        <v>0.01</v>
      </c>
      <c r="AB7" s="3">
        <v>0.01</v>
      </c>
      <c r="AC7" s="3">
        <v>0.01</v>
      </c>
      <c r="AD7" s="3">
        <v>0</v>
      </c>
      <c r="AE7" s="3">
        <v>0.01</v>
      </c>
      <c r="AF7" s="129">
        <v>6866.6</v>
      </c>
      <c r="AG7" s="3">
        <v>9.65</v>
      </c>
      <c r="AI7" s="130" t="s">
        <v>41</v>
      </c>
      <c r="AJ7" s="131" t="s">
        <v>58</v>
      </c>
      <c r="AK7" s="3">
        <v>0.02</v>
      </c>
      <c r="AL7" s="3">
        <v>3.83</v>
      </c>
      <c r="AM7" s="3">
        <v>0.02</v>
      </c>
      <c r="AN7" s="3">
        <v>3.92</v>
      </c>
      <c r="AO7" s="3">
        <v>0.04</v>
      </c>
      <c r="AP7" s="3">
        <v>4.34</v>
      </c>
      <c r="AQ7" s="3">
        <v>0.03</v>
      </c>
      <c r="AR7" s="3">
        <v>4.07</v>
      </c>
      <c r="AS7" s="3">
        <v>0.02</v>
      </c>
      <c r="AT7" s="3">
        <v>3.4</v>
      </c>
      <c r="AU7" s="3">
        <v>0.03</v>
      </c>
      <c r="AV7" s="3">
        <v>4.08</v>
      </c>
    </row>
    <row r="8" spans="1:48" ht="41.25" customHeight="1" thickBot="1" x14ac:dyDescent="0.3">
      <c r="A8" s="130" t="s">
        <v>5</v>
      </c>
      <c r="B8" s="3">
        <v>476.95</v>
      </c>
      <c r="C8" s="3">
        <v>11.33</v>
      </c>
      <c r="D8" s="129">
        <v>1181</v>
      </c>
      <c r="E8" s="3">
        <v>16.57</v>
      </c>
      <c r="F8" s="3">
        <v>582.82000000000005</v>
      </c>
      <c r="G8" s="3">
        <v>8.4700000000000006</v>
      </c>
      <c r="H8" s="3">
        <v>127.13</v>
      </c>
      <c r="I8" s="3">
        <v>25.86</v>
      </c>
      <c r="J8" s="3">
        <v>69.8</v>
      </c>
      <c r="K8" s="3">
        <v>13.33</v>
      </c>
      <c r="L8" s="3">
        <v>462.32</v>
      </c>
      <c r="M8" s="3">
        <v>9.94</v>
      </c>
      <c r="N8" s="129">
        <v>2900.01</v>
      </c>
      <c r="O8" s="3">
        <v>12.14</v>
      </c>
      <c r="Q8" s="130" t="s">
        <v>126</v>
      </c>
      <c r="R8" s="3" t="s">
        <v>139</v>
      </c>
      <c r="S8" s="3" t="s">
        <v>139</v>
      </c>
      <c r="T8" s="3">
        <v>3091</v>
      </c>
      <c r="U8" s="3">
        <v>3105</v>
      </c>
      <c r="V8" s="3">
        <v>3121</v>
      </c>
      <c r="W8" s="3">
        <v>3102</v>
      </c>
      <c r="Y8" s="130" t="s">
        <v>33</v>
      </c>
      <c r="Z8" s="3">
        <v>0.48</v>
      </c>
      <c r="AA8" s="3">
        <v>3.7</v>
      </c>
      <c r="AB8" s="3">
        <v>5.7</v>
      </c>
      <c r="AC8" s="3">
        <v>8.58</v>
      </c>
      <c r="AD8" s="3">
        <v>12.14</v>
      </c>
      <c r="AE8" s="3">
        <v>6.14</v>
      </c>
      <c r="AF8" s="129">
        <v>6570716.7400000002</v>
      </c>
      <c r="AG8" s="129">
        <v>9232.17</v>
      </c>
      <c r="AI8" s="130" t="s">
        <v>30</v>
      </c>
      <c r="AJ8" s="131" t="s">
        <v>58</v>
      </c>
      <c r="AK8" s="3">
        <v>0.26</v>
      </c>
      <c r="AL8" s="3">
        <v>1.67</v>
      </c>
      <c r="AM8" s="3">
        <v>2.76</v>
      </c>
      <c r="AN8" s="3">
        <v>1.31</v>
      </c>
      <c r="AO8" s="3">
        <v>4.58</v>
      </c>
      <c r="AP8" s="3">
        <v>1.45</v>
      </c>
      <c r="AQ8" s="3">
        <v>6.51</v>
      </c>
      <c r="AR8" s="3">
        <v>1.35</v>
      </c>
      <c r="AS8" s="3">
        <v>8.09</v>
      </c>
      <c r="AT8" s="3">
        <v>1.36</v>
      </c>
      <c r="AU8" s="3">
        <v>4.55</v>
      </c>
      <c r="AV8" s="3">
        <v>1.39</v>
      </c>
    </row>
    <row r="9" spans="1:48" ht="27.75" thickBot="1" x14ac:dyDescent="0.3">
      <c r="A9" s="130" t="s">
        <v>6</v>
      </c>
      <c r="B9" s="129">
        <v>1152.6199999999999</v>
      </c>
      <c r="C9" s="3">
        <v>27.38</v>
      </c>
      <c r="D9" s="129">
        <v>1922.83</v>
      </c>
      <c r="E9" s="3">
        <v>26.98</v>
      </c>
      <c r="F9" s="129">
        <v>1569.39</v>
      </c>
      <c r="G9" s="3">
        <v>22.82</v>
      </c>
      <c r="H9" s="3">
        <v>128.12</v>
      </c>
      <c r="I9" s="3">
        <v>26.06</v>
      </c>
      <c r="J9" s="3">
        <v>184.68</v>
      </c>
      <c r="K9" s="3">
        <v>35.270000000000003</v>
      </c>
      <c r="L9" s="129">
        <v>2056.1799999999998</v>
      </c>
      <c r="M9" s="3">
        <v>44.2</v>
      </c>
      <c r="N9" s="129">
        <v>7013.83</v>
      </c>
      <c r="O9" s="3">
        <v>29.37</v>
      </c>
      <c r="Q9" s="130" t="s">
        <v>34</v>
      </c>
      <c r="R9" s="3">
        <v>2947</v>
      </c>
      <c r="S9" s="3">
        <v>3313</v>
      </c>
      <c r="T9" s="3">
        <v>3837</v>
      </c>
      <c r="U9" s="3">
        <v>3644</v>
      </c>
      <c r="V9" s="3">
        <v>3566</v>
      </c>
      <c r="W9" s="3">
        <v>3652</v>
      </c>
      <c r="Y9" s="130" t="s">
        <v>126</v>
      </c>
      <c r="Z9" s="3" t="s">
        <v>139</v>
      </c>
      <c r="AA9" s="3" t="s">
        <v>139</v>
      </c>
      <c r="AB9" s="3">
        <v>0.12</v>
      </c>
      <c r="AC9" s="3">
        <v>0.12</v>
      </c>
      <c r="AD9" s="3">
        <v>0.13</v>
      </c>
      <c r="AE9" s="3">
        <v>0.09</v>
      </c>
      <c r="AF9" s="129">
        <v>92535.08</v>
      </c>
      <c r="AG9" s="3">
        <v>130.02000000000001</v>
      </c>
      <c r="AI9" s="130" t="s">
        <v>126</v>
      </c>
      <c r="AJ9" s="131" t="s">
        <v>166</v>
      </c>
      <c r="AK9" s="3" t="s">
        <v>139</v>
      </c>
      <c r="AL9" s="3" t="s">
        <v>139</v>
      </c>
      <c r="AM9" s="3" t="s">
        <v>139</v>
      </c>
      <c r="AN9" s="3" t="s">
        <v>139</v>
      </c>
      <c r="AO9" s="3">
        <v>0.04</v>
      </c>
      <c r="AP9" s="3">
        <v>1.77</v>
      </c>
      <c r="AQ9" s="3">
        <v>0.04</v>
      </c>
      <c r="AR9" s="3">
        <v>1.77</v>
      </c>
      <c r="AS9" s="3">
        <v>0.04</v>
      </c>
      <c r="AT9" s="3">
        <v>1.77</v>
      </c>
      <c r="AU9" s="3">
        <v>0.03</v>
      </c>
      <c r="AV9" s="3">
        <v>1.77</v>
      </c>
    </row>
    <row r="10" spans="1:48" ht="41.25" thickBot="1" x14ac:dyDescent="0.3">
      <c r="A10" s="130" t="s">
        <v>7</v>
      </c>
      <c r="B10" s="3">
        <v>2.15</v>
      </c>
      <c r="C10" s="3">
        <v>0.05</v>
      </c>
      <c r="D10" s="3">
        <v>31.1</v>
      </c>
      <c r="E10" s="3">
        <v>0.44</v>
      </c>
      <c r="F10" s="3" t="s">
        <v>139</v>
      </c>
      <c r="G10" s="3" t="s">
        <v>139</v>
      </c>
      <c r="H10" s="3">
        <v>24.65</v>
      </c>
      <c r="I10" s="3">
        <v>5.01</v>
      </c>
      <c r="J10" s="3">
        <v>1.24</v>
      </c>
      <c r="K10" s="3">
        <v>0.24</v>
      </c>
      <c r="L10" s="3">
        <v>1.97</v>
      </c>
      <c r="M10" s="3">
        <v>0.04</v>
      </c>
      <c r="N10" s="3">
        <v>61.12</v>
      </c>
      <c r="O10" s="3">
        <v>0.26</v>
      </c>
      <c r="Q10" s="130" t="s">
        <v>35</v>
      </c>
      <c r="R10" s="3">
        <v>5309</v>
      </c>
      <c r="S10" s="3">
        <v>4060</v>
      </c>
      <c r="T10" s="3">
        <v>4422</v>
      </c>
      <c r="U10" s="3">
        <v>4001</v>
      </c>
      <c r="V10" s="3">
        <v>3702</v>
      </c>
      <c r="W10" s="3">
        <v>4097</v>
      </c>
      <c r="Y10" s="130" t="s">
        <v>34</v>
      </c>
      <c r="Z10" s="3">
        <v>0.22</v>
      </c>
      <c r="AA10" s="3">
        <v>2.76</v>
      </c>
      <c r="AB10" s="3">
        <v>4.25</v>
      </c>
      <c r="AC10" s="3">
        <v>6.81</v>
      </c>
      <c r="AD10" s="3">
        <v>7.94</v>
      </c>
      <c r="AE10" s="3">
        <v>4.45</v>
      </c>
      <c r="AF10" s="129">
        <v>4764244.0599999996</v>
      </c>
      <c r="AG10" s="129">
        <v>6693.99</v>
      </c>
      <c r="AI10" s="130" t="s">
        <v>126</v>
      </c>
      <c r="AJ10" s="131" t="s">
        <v>56</v>
      </c>
      <c r="AK10" s="3" t="s">
        <v>139</v>
      </c>
      <c r="AL10" s="3" t="s">
        <v>139</v>
      </c>
      <c r="AM10" s="3" t="s">
        <v>139</v>
      </c>
      <c r="AN10" s="3" t="s">
        <v>139</v>
      </c>
      <c r="AO10" s="3">
        <v>0.01</v>
      </c>
      <c r="AP10" s="3">
        <v>5.12</v>
      </c>
      <c r="AQ10" s="3" t="s">
        <v>139</v>
      </c>
      <c r="AR10" s="3" t="s">
        <v>139</v>
      </c>
      <c r="AS10" s="3">
        <v>0</v>
      </c>
      <c r="AT10" s="3">
        <v>5.12</v>
      </c>
      <c r="AU10" s="3">
        <v>0</v>
      </c>
      <c r="AV10" s="3">
        <v>5.12</v>
      </c>
    </row>
    <row r="11" spans="1:48" ht="54.75" customHeight="1" thickBot="1" x14ac:dyDescent="0.3">
      <c r="A11" s="130" t="s">
        <v>106</v>
      </c>
      <c r="B11" s="3">
        <v>415.43</v>
      </c>
      <c r="C11" s="3">
        <v>9.8699999999999992</v>
      </c>
      <c r="D11" s="3">
        <v>622.54</v>
      </c>
      <c r="E11" s="3">
        <v>8.74</v>
      </c>
      <c r="F11" s="3">
        <v>695.72</v>
      </c>
      <c r="G11" s="3">
        <v>10.119999999999999</v>
      </c>
      <c r="H11" s="3">
        <v>70.709999999999994</v>
      </c>
      <c r="I11" s="3">
        <v>14.38</v>
      </c>
      <c r="J11" s="3">
        <v>35.89</v>
      </c>
      <c r="K11" s="3">
        <v>6.85</v>
      </c>
      <c r="L11" s="3">
        <v>406.35</v>
      </c>
      <c r="M11" s="3">
        <v>8.73</v>
      </c>
      <c r="N11" s="129">
        <v>2246.63</v>
      </c>
      <c r="O11" s="3">
        <v>9.41</v>
      </c>
      <c r="Q11" s="130" t="s">
        <v>36</v>
      </c>
      <c r="R11" s="3">
        <v>4794</v>
      </c>
      <c r="S11" s="3">
        <v>3849</v>
      </c>
      <c r="T11" s="3">
        <v>4270</v>
      </c>
      <c r="U11" s="3">
        <v>3906</v>
      </c>
      <c r="V11" s="3">
        <v>3663</v>
      </c>
      <c r="W11" s="3">
        <v>3978</v>
      </c>
      <c r="Y11" s="130" t="s">
        <v>35</v>
      </c>
      <c r="Z11" s="3">
        <v>0.78</v>
      </c>
      <c r="AA11" s="3">
        <v>7</v>
      </c>
      <c r="AB11" s="3">
        <v>13.05</v>
      </c>
      <c r="AC11" s="3">
        <v>19.920000000000002</v>
      </c>
      <c r="AD11" s="3">
        <v>21.3</v>
      </c>
      <c r="AE11" s="3">
        <v>12.8</v>
      </c>
      <c r="AF11" s="129">
        <v>13694438.75</v>
      </c>
      <c r="AG11" s="129">
        <v>19241.330000000002</v>
      </c>
      <c r="AI11" s="130" t="s">
        <v>126</v>
      </c>
      <c r="AJ11" s="131" t="s">
        <v>57</v>
      </c>
      <c r="AK11" s="3" t="s">
        <v>139</v>
      </c>
      <c r="AL11" s="3" t="s">
        <v>139</v>
      </c>
      <c r="AM11" s="3" t="s">
        <v>139</v>
      </c>
      <c r="AN11" s="3" t="s">
        <v>139</v>
      </c>
      <c r="AO11" s="3">
        <v>7.0000000000000007E-2</v>
      </c>
      <c r="AP11" s="3">
        <v>3.32</v>
      </c>
      <c r="AQ11" s="3">
        <v>0.09</v>
      </c>
      <c r="AR11" s="3">
        <v>3.25</v>
      </c>
      <c r="AS11" s="3">
        <v>0.09</v>
      </c>
      <c r="AT11" s="3">
        <v>3.27</v>
      </c>
      <c r="AU11" s="3">
        <v>0.06</v>
      </c>
      <c r="AV11" s="3">
        <v>3.29</v>
      </c>
    </row>
    <row r="12" spans="1:48" ht="27.75" customHeight="1" thickBot="1" x14ac:dyDescent="0.3">
      <c r="A12" s="130" t="s">
        <v>8</v>
      </c>
      <c r="B12" s="3">
        <v>683.11</v>
      </c>
      <c r="C12" s="3">
        <v>16.23</v>
      </c>
      <c r="D12" s="129">
        <v>1183.9000000000001</v>
      </c>
      <c r="E12" s="3">
        <v>16.61</v>
      </c>
      <c r="F12" s="129">
        <v>1054.98</v>
      </c>
      <c r="G12" s="3">
        <v>15.34</v>
      </c>
      <c r="H12" s="3">
        <v>56.82</v>
      </c>
      <c r="I12" s="3">
        <v>11.56</v>
      </c>
      <c r="J12" s="3">
        <v>76.180000000000007</v>
      </c>
      <c r="K12" s="3">
        <v>14.55</v>
      </c>
      <c r="L12" s="3">
        <v>781.05</v>
      </c>
      <c r="M12" s="3">
        <v>16.79</v>
      </c>
      <c r="N12" s="129">
        <v>3836.04</v>
      </c>
      <c r="O12" s="3">
        <v>16.059999999999999</v>
      </c>
      <c r="Q12" s="130" t="s">
        <v>37</v>
      </c>
      <c r="R12" s="3">
        <v>648</v>
      </c>
      <c r="S12" s="3">
        <v>498</v>
      </c>
      <c r="T12" s="3">
        <v>456</v>
      </c>
      <c r="U12" s="3">
        <v>557</v>
      </c>
      <c r="V12" s="3">
        <v>857</v>
      </c>
      <c r="W12" s="3">
        <v>574</v>
      </c>
      <c r="Y12" s="130" t="s">
        <v>36</v>
      </c>
      <c r="Z12" s="3">
        <v>0.99</v>
      </c>
      <c r="AA12" s="3">
        <v>9.76</v>
      </c>
      <c r="AB12" s="3">
        <v>17.420000000000002</v>
      </c>
      <c r="AC12" s="3">
        <v>26.86</v>
      </c>
      <c r="AD12" s="3">
        <v>29.37</v>
      </c>
      <c r="AE12" s="3">
        <v>17.34</v>
      </c>
      <c r="AF12" s="129">
        <v>18551217.890000001</v>
      </c>
      <c r="AG12" s="129">
        <v>26065.33</v>
      </c>
      <c r="AI12" s="130" t="s">
        <v>44</v>
      </c>
      <c r="AJ12" s="131" t="s">
        <v>56</v>
      </c>
      <c r="AK12" s="3">
        <v>0</v>
      </c>
      <c r="AL12" s="3">
        <v>5.51</v>
      </c>
      <c r="AM12" s="3">
        <v>7.0000000000000007E-2</v>
      </c>
      <c r="AN12" s="3">
        <v>5.49</v>
      </c>
      <c r="AO12" s="3">
        <v>0.09</v>
      </c>
      <c r="AP12" s="3">
        <v>5.6</v>
      </c>
      <c r="AQ12" s="3">
        <v>0.08</v>
      </c>
      <c r="AR12" s="3">
        <v>5.56</v>
      </c>
      <c r="AS12" s="3">
        <v>0.13</v>
      </c>
      <c r="AT12" s="3">
        <v>5.62</v>
      </c>
      <c r="AU12" s="3">
        <v>0.08</v>
      </c>
      <c r="AV12" s="3">
        <v>5.58</v>
      </c>
    </row>
    <row r="13" spans="1:48" ht="27.75" thickBot="1" x14ac:dyDescent="0.3">
      <c r="A13" s="130" t="s">
        <v>9</v>
      </c>
      <c r="B13" s="3">
        <v>15.41</v>
      </c>
      <c r="C13" s="3">
        <v>0.37</v>
      </c>
      <c r="D13" s="3">
        <v>33.82</v>
      </c>
      <c r="E13" s="3">
        <v>0.47</v>
      </c>
      <c r="F13" s="3">
        <v>9.73</v>
      </c>
      <c r="G13" s="3">
        <v>0.14000000000000001</v>
      </c>
      <c r="H13" s="3">
        <v>16.579999999999998</v>
      </c>
      <c r="I13" s="3">
        <v>3.37</v>
      </c>
      <c r="J13" s="3">
        <v>1.17</v>
      </c>
      <c r="K13" s="3">
        <v>0.22</v>
      </c>
      <c r="L13" s="3">
        <v>32.56</v>
      </c>
      <c r="M13" s="3">
        <v>0.7</v>
      </c>
      <c r="N13" s="3">
        <v>109.27</v>
      </c>
      <c r="O13" s="3">
        <v>0.46</v>
      </c>
      <c r="Q13" s="130" t="s">
        <v>38</v>
      </c>
      <c r="R13" s="3">
        <v>1773</v>
      </c>
      <c r="S13" s="3">
        <v>1802</v>
      </c>
      <c r="T13" s="3">
        <v>2161</v>
      </c>
      <c r="U13" s="3">
        <v>2074</v>
      </c>
      <c r="V13" s="3">
        <v>2381</v>
      </c>
      <c r="W13" s="3">
        <v>2146</v>
      </c>
      <c r="Y13" s="130" t="s">
        <v>37</v>
      </c>
      <c r="Z13" s="3">
        <v>0.08</v>
      </c>
      <c r="AA13" s="3">
        <v>0.13</v>
      </c>
      <c r="AB13" s="3">
        <v>0.2</v>
      </c>
      <c r="AC13" s="3">
        <v>0.35</v>
      </c>
      <c r="AD13" s="3">
        <v>0.23</v>
      </c>
      <c r="AE13" s="3">
        <v>0.2</v>
      </c>
      <c r="AF13" s="129">
        <v>215017.75</v>
      </c>
      <c r="AG13" s="3">
        <v>302.11</v>
      </c>
      <c r="AI13" s="130" t="s">
        <v>44</v>
      </c>
      <c r="AJ13" s="131" t="s">
        <v>58</v>
      </c>
      <c r="AK13" s="3">
        <v>0.89</v>
      </c>
      <c r="AL13" s="3">
        <v>2.69</v>
      </c>
      <c r="AM13" s="3">
        <v>4.55</v>
      </c>
      <c r="AN13" s="3">
        <v>2.61</v>
      </c>
      <c r="AO13" s="3">
        <v>8.48</v>
      </c>
      <c r="AP13" s="3">
        <v>2.61</v>
      </c>
      <c r="AQ13" s="3">
        <v>10.52</v>
      </c>
      <c r="AR13" s="3">
        <v>2.58</v>
      </c>
      <c r="AS13" s="3">
        <v>12.82</v>
      </c>
      <c r="AT13" s="3">
        <v>2.66</v>
      </c>
      <c r="AU13" s="3">
        <v>7.8</v>
      </c>
      <c r="AV13" s="3">
        <v>2.62</v>
      </c>
    </row>
    <row r="14" spans="1:48" ht="27.75" thickBot="1" x14ac:dyDescent="0.3">
      <c r="A14" s="130" t="s">
        <v>10</v>
      </c>
      <c r="B14" s="129">
        <v>1117.1199999999999</v>
      </c>
      <c r="C14" s="3">
        <v>26.54</v>
      </c>
      <c r="D14" s="129">
        <v>1596.06</v>
      </c>
      <c r="E14" s="3">
        <v>22.4</v>
      </c>
      <c r="F14" s="129">
        <v>2214.09</v>
      </c>
      <c r="G14" s="3">
        <v>32.19</v>
      </c>
      <c r="H14" s="3">
        <v>44.55</v>
      </c>
      <c r="I14" s="3">
        <v>9.06</v>
      </c>
      <c r="J14" s="3">
        <v>117.53</v>
      </c>
      <c r="K14" s="3">
        <v>22.44</v>
      </c>
      <c r="L14" s="3">
        <v>559.66</v>
      </c>
      <c r="M14" s="3">
        <v>12.03</v>
      </c>
      <c r="N14" s="129">
        <v>5649.01</v>
      </c>
      <c r="O14" s="3">
        <v>23.65</v>
      </c>
      <c r="Q14" s="130" t="s">
        <v>39</v>
      </c>
      <c r="R14" s="3">
        <v>697</v>
      </c>
      <c r="S14" s="3">
        <v>541</v>
      </c>
      <c r="T14" s="3">
        <v>509</v>
      </c>
      <c r="U14" s="3">
        <v>745</v>
      </c>
      <c r="V14" s="3">
        <v>1018</v>
      </c>
      <c r="W14" s="3">
        <v>691</v>
      </c>
      <c r="Y14" s="130" t="s">
        <v>38</v>
      </c>
      <c r="Z14" s="3">
        <v>0</v>
      </c>
      <c r="AA14" s="3">
        <v>0</v>
      </c>
      <c r="AB14" s="3">
        <v>0.01</v>
      </c>
      <c r="AC14" s="3">
        <v>0.05</v>
      </c>
      <c r="AD14" s="3">
        <v>0.03</v>
      </c>
      <c r="AE14" s="3">
        <v>0.02</v>
      </c>
      <c r="AF14" s="129">
        <v>17406.509999999998</v>
      </c>
      <c r="AG14" s="3">
        <v>24.46</v>
      </c>
      <c r="AI14" s="130" t="s">
        <v>44</v>
      </c>
      <c r="AJ14" s="131" t="s">
        <v>57</v>
      </c>
      <c r="AK14" s="3" t="s">
        <v>139</v>
      </c>
      <c r="AL14" s="3" t="s">
        <v>139</v>
      </c>
      <c r="AM14" s="3">
        <v>0.02</v>
      </c>
      <c r="AN14" s="3">
        <v>2.27</v>
      </c>
      <c r="AO14" s="3">
        <v>0.26</v>
      </c>
      <c r="AP14" s="3">
        <v>3.23</v>
      </c>
      <c r="AQ14" s="3">
        <v>0.35</v>
      </c>
      <c r="AR14" s="3">
        <v>2.94</v>
      </c>
      <c r="AS14" s="3">
        <v>0.51</v>
      </c>
      <c r="AT14" s="3">
        <v>2.97</v>
      </c>
      <c r="AU14" s="3">
        <v>0.24</v>
      </c>
      <c r="AV14" s="3">
        <v>3.05</v>
      </c>
    </row>
    <row r="15" spans="1:48" ht="41.25" thickBot="1" x14ac:dyDescent="0.3">
      <c r="A15" s="130" t="s">
        <v>11</v>
      </c>
      <c r="B15" s="3" t="s">
        <v>139</v>
      </c>
      <c r="C15" s="3" t="s">
        <v>139</v>
      </c>
      <c r="D15" s="3">
        <v>2.96</v>
      </c>
      <c r="E15" s="3">
        <v>0.04</v>
      </c>
      <c r="F15" s="3">
        <v>0.87</v>
      </c>
      <c r="G15" s="3">
        <v>0.01</v>
      </c>
      <c r="H15" s="3" t="s">
        <v>139</v>
      </c>
      <c r="I15" s="3" t="s">
        <v>139</v>
      </c>
      <c r="J15" s="3">
        <v>0.15</v>
      </c>
      <c r="K15" s="3">
        <v>0.03</v>
      </c>
      <c r="L15" s="3">
        <v>2.68</v>
      </c>
      <c r="M15" s="3">
        <v>0.06</v>
      </c>
      <c r="N15" s="3">
        <v>6.66</v>
      </c>
      <c r="O15" s="3">
        <v>0.03</v>
      </c>
      <c r="Q15" s="128" t="s">
        <v>40</v>
      </c>
      <c r="R15" s="3">
        <v>4022</v>
      </c>
      <c r="S15" s="3">
        <v>3377</v>
      </c>
      <c r="T15" s="3">
        <v>3949</v>
      </c>
      <c r="U15" s="3">
        <v>3517</v>
      </c>
      <c r="V15" s="3">
        <v>3170</v>
      </c>
      <c r="W15" s="3">
        <v>3569</v>
      </c>
      <c r="Y15" s="130" t="s">
        <v>39</v>
      </c>
      <c r="Z15" s="3">
        <v>0.08</v>
      </c>
      <c r="AA15" s="3">
        <v>0.14000000000000001</v>
      </c>
      <c r="AB15" s="3">
        <v>0.21</v>
      </c>
      <c r="AC15" s="3">
        <v>0.4</v>
      </c>
      <c r="AD15" s="3">
        <v>0.26</v>
      </c>
      <c r="AE15" s="3">
        <v>0.22</v>
      </c>
      <c r="AF15" s="129">
        <v>232424.26</v>
      </c>
      <c r="AG15" s="3">
        <v>326.57</v>
      </c>
      <c r="AI15" s="130" t="s">
        <v>152</v>
      </c>
      <c r="AJ15" s="131" t="s">
        <v>58</v>
      </c>
      <c r="AK15" s="3">
        <v>0.03</v>
      </c>
      <c r="AL15" s="3">
        <v>2.42</v>
      </c>
      <c r="AM15" s="3">
        <v>0.03</v>
      </c>
      <c r="AN15" s="3">
        <v>2.42</v>
      </c>
      <c r="AO15" s="3">
        <v>0.14000000000000001</v>
      </c>
      <c r="AP15" s="3">
        <v>2.48</v>
      </c>
      <c r="AQ15" s="3">
        <v>0.08</v>
      </c>
      <c r="AR15" s="3">
        <v>2.4700000000000002</v>
      </c>
      <c r="AS15" s="3">
        <v>0.05</v>
      </c>
      <c r="AT15" s="3">
        <v>2.42</v>
      </c>
      <c r="AU15" s="3">
        <v>0.08</v>
      </c>
      <c r="AV15" s="3">
        <v>2.4700000000000002</v>
      </c>
    </row>
    <row r="16" spans="1:48" ht="27.75" customHeight="1" thickBot="1" x14ac:dyDescent="0.3">
      <c r="A16" s="130" t="s">
        <v>169</v>
      </c>
      <c r="B16" s="3">
        <v>11.37</v>
      </c>
      <c r="C16" s="3">
        <v>0.27</v>
      </c>
      <c r="D16" s="3">
        <v>2.4900000000000002</v>
      </c>
      <c r="E16" s="3">
        <v>0.03</v>
      </c>
      <c r="F16" s="3">
        <v>16.05</v>
      </c>
      <c r="G16" s="3">
        <v>0.23</v>
      </c>
      <c r="H16" s="3">
        <v>0.26</v>
      </c>
      <c r="I16" s="3">
        <v>0.05</v>
      </c>
      <c r="J16" s="3">
        <v>0.54</v>
      </c>
      <c r="K16" s="3">
        <v>0.1</v>
      </c>
      <c r="L16" s="3">
        <v>0.1</v>
      </c>
      <c r="M16" s="3">
        <v>0</v>
      </c>
      <c r="N16" s="3">
        <v>30.8</v>
      </c>
      <c r="O16" s="3">
        <v>0.13</v>
      </c>
      <c r="Q16" s="130" t="s">
        <v>167</v>
      </c>
      <c r="R16" s="3">
        <v>35765</v>
      </c>
      <c r="S16" s="3">
        <v>35765</v>
      </c>
      <c r="T16" s="3">
        <v>35765</v>
      </c>
      <c r="U16" s="3">
        <v>35765</v>
      </c>
      <c r="V16" s="3" t="s">
        <v>139</v>
      </c>
      <c r="W16" s="3">
        <v>35765</v>
      </c>
      <c r="Y16" s="128" t="s">
        <v>40</v>
      </c>
      <c r="Z16" s="3">
        <v>1.55</v>
      </c>
      <c r="AA16" s="3">
        <v>13.59</v>
      </c>
      <c r="AB16" s="3">
        <v>23.33</v>
      </c>
      <c r="AC16" s="3">
        <v>35.83</v>
      </c>
      <c r="AD16" s="3">
        <v>41.77</v>
      </c>
      <c r="AE16" s="3">
        <v>23.7</v>
      </c>
      <c r="AF16" s="129">
        <v>25354358.890000001</v>
      </c>
      <c r="AG16" s="129">
        <v>35624.06</v>
      </c>
      <c r="AI16" s="130" t="s">
        <v>37</v>
      </c>
      <c r="AJ16" s="131" t="s">
        <v>145</v>
      </c>
      <c r="AK16" s="3">
        <v>0.08</v>
      </c>
      <c r="AL16" s="3">
        <v>2.48</v>
      </c>
      <c r="AM16" s="3">
        <v>0.13</v>
      </c>
      <c r="AN16" s="3">
        <v>2.75</v>
      </c>
      <c r="AO16" s="3">
        <v>0.2</v>
      </c>
      <c r="AP16" s="3">
        <v>2.71</v>
      </c>
      <c r="AQ16" s="3">
        <v>0.35</v>
      </c>
      <c r="AR16" s="3">
        <v>2.4700000000000002</v>
      </c>
      <c r="AS16" s="3">
        <v>0.23</v>
      </c>
      <c r="AT16" s="3">
        <v>2.5499999999999998</v>
      </c>
      <c r="AU16" s="3">
        <v>0.2</v>
      </c>
      <c r="AV16" s="3">
        <v>2.6</v>
      </c>
    </row>
    <row r="17" spans="1:48" ht="27.75" customHeight="1" thickBot="1" x14ac:dyDescent="0.3">
      <c r="A17" s="130" t="s">
        <v>12</v>
      </c>
      <c r="B17" s="3">
        <v>5.69</v>
      </c>
      <c r="C17" s="3">
        <v>0.14000000000000001</v>
      </c>
      <c r="D17" s="3">
        <v>-21.42</v>
      </c>
      <c r="E17" s="3">
        <v>-0.3</v>
      </c>
      <c r="F17" s="3">
        <v>11.53</v>
      </c>
      <c r="G17" s="3">
        <v>0.17</v>
      </c>
      <c r="H17" s="3">
        <v>-0.01</v>
      </c>
      <c r="I17" s="3">
        <v>0</v>
      </c>
      <c r="J17" s="3">
        <v>0.11</v>
      </c>
      <c r="K17" s="3">
        <v>0.02</v>
      </c>
      <c r="L17" s="3">
        <v>-5.85</v>
      </c>
      <c r="M17" s="3">
        <v>-0.13</v>
      </c>
      <c r="N17" s="3">
        <v>-9.9499999999999993</v>
      </c>
      <c r="O17" s="3">
        <v>-0.04</v>
      </c>
      <c r="Q17" s="130" t="s">
        <v>41</v>
      </c>
      <c r="R17" s="3">
        <v>1432</v>
      </c>
      <c r="S17" s="3">
        <v>1187</v>
      </c>
      <c r="T17" s="3">
        <v>1212</v>
      </c>
      <c r="U17" s="3">
        <v>1316</v>
      </c>
      <c r="V17" s="3">
        <v>1201</v>
      </c>
      <c r="W17" s="3">
        <v>1245</v>
      </c>
      <c r="Y17" s="130" t="s">
        <v>178</v>
      </c>
      <c r="Z17" s="3">
        <v>0.91</v>
      </c>
      <c r="AA17" s="3">
        <v>1.1399999999999999</v>
      </c>
      <c r="AB17" s="3">
        <v>0.69</v>
      </c>
      <c r="AC17" s="3">
        <v>0.39</v>
      </c>
      <c r="AD17" s="3">
        <v>0.24</v>
      </c>
      <c r="AE17" s="3">
        <v>0.67</v>
      </c>
      <c r="AF17" s="129">
        <v>717022.63</v>
      </c>
      <c r="AG17" s="129">
        <v>1007.45</v>
      </c>
      <c r="AI17" s="130" t="s">
        <v>45</v>
      </c>
      <c r="AJ17" s="131" t="s">
        <v>58</v>
      </c>
      <c r="AK17" s="3">
        <v>0.66</v>
      </c>
      <c r="AL17" s="3">
        <v>3.42</v>
      </c>
      <c r="AM17" s="3">
        <v>1.26</v>
      </c>
      <c r="AN17" s="3">
        <v>3.21</v>
      </c>
      <c r="AO17" s="3">
        <v>1.82</v>
      </c>
      <c r="AP17" s="3">
        <v>3.12</v>
      </c>
      <c r="AQ17" s="3">
        <v>1.76</v>
      </c>
      <c r="AR17" s="3">
        <v>3.12</v>
      </c>
      <c r="AS17" s="3">
        <v>2.54</v>
      </c>
      <c r="AT17" s="3">
        <v>3.24</v>
      </c>
      <c r="AU17" s="3">
        <v>1.67</v>
      </c>
      <c r="AV17" s="3">
        <v>3.18</v>
      </c>
    </row>
    <row r="18" spans="1:48" ht="41.25" customHeight="1" thickBot="1" x14ac:dyDescent="0.3">
      <c r="A18" s="130" t="s">
        <v>170</v>
      </c>
      <c r="B18" s="3">
        <v>0.56000000000000005</v>
      </c>
      <c r="C18" s="3">
        <v>0.01</v>
      </c>
      <c r="D18" s="3">
        <v>0.6</v>
      </c>
      <c r="E18" s="3">
        <v>0.01</v>
      </c>
      <c r="F18" s="3">
        <v>0.49</v>
      </c>
      <c r="G18" s="3">
        <v>0.01</v>
      </c>
      <c r="H18" s="3">
        <v>0.36</v>
      </c>
      <c r="I18" s="3">
        <v>7.0000000000000007E-2</v>
      </c>
      <c r="J18" s="3">
        <v>0.09</v>
      </c>
      <c r="K18" s="3">
        <v>0.02</v>
      </c>
      <c r="L18" s="3">
        <v>0.05</v>
      </c>
      <c r="M18" s="3">
        <v>0</v>
      </c>
      <c r="N18" s="3">
        <v>2.16</v>
      </c>
      <c r="O18" s="3">
        <v>0.01</v>
      </c>
      <c r="Q18" s="130" t="s">
        <v>42</v>
      </c>
      <c r="R18" s="3">
        <v>3351</v>
      </c>
      <c r="S18" s="3">
        <v>3135</v>
      </c>
      <c r="T18" s="3">
        <v>3048</v>
      </c>
      <c r="U18" s="3">
        <v>3096</v>
      </c>
      <c r="V18" s="3">
        <v>3405</v>
      </c>
      <c r="W18" s="3">
        <v>3153</v>
      </c>
      <c r="Y18" s="130" t="s">
        <v>44</v>
      </c>
      <c r="Z18" s="3">
        <v>0.89</v>
      </c>
      <c r="AA18" s="3">
        <v>4.6399999999999997</v>
      </c>
      <c r="AB18" s="3">
        <v>8.82</v>
      </c>
      <c r="AC18" s="3">
        <v>10.96</v>
      </c>
      <c r="AD18" s="3">
        <v>13.46</v>
      </c>
      <c r="AE18" s="3">
        <v>8.1199999999999992</v>
      </c>
      <c r="AF18" s="129">
        <v>8682281.3399999999</v>
      </c>
      <c r="AG18" s="129">
        <v>12199.01</v>
      </c>
      <c r="AI18" s="130" t="s">
        <v>34</v>
      </c>
      <c r="AJ18" s="131" t="s">
        <v>56</v>
      </c>
      <c r="AK18" s="3">
        <v>0.22</v>
      </c>
      <c r="AL18" s="3">
        <v>4.53</v>
      </c>
      <c r="AM18" s="3">
        <v>2.76</v>
      </c>
      <c r="AN18" s="3">
        <v>4.6100000000000003</v>
      </c>
      <c r="AO18" s="3">
        <v>4.25</v>
      </c>
      <c r="AP18" s="3">
        <v>4.7</v>
      </c>
      <c r="AQ18" s="3">
        <v>6.81</v>
      </c>
      <c r="AR18" s="3">
        <v>4.66</v>
      </c>
      <c r="AS18" s="3">
        <v>7.94</v>
      </c>
      <c r="AT18" s="3">
        <v>4.6500000000000004</v>
      </c>
      <c r="AU18" s="3">
        <v>4.45</v>
      </c>
      <c r="AV18" s="3">
        <v>4.66</v>
      </c>
    </row>
    <row r="19" spans="1:48" ht="41.25" thickBot="1" x14ac:dyDescent="0.3">
      <c r="A19" s="128" t="s">
        <v>13</v>
      </c>
      <c r="B19" s="3">
        <v>298.45</v>
      </c>
      <c r="C19" s="3">
        <v>7.09</v>
      </c>
      <c r="D19" s="3">
        <v>505.53</v>
      </c>
      <c r="E19" s="3">
        <v>7.09</v>
      </c>
      <c r="F19" s="3">
        <v>654.36</v>
      </c>
      <c r="G19" s="3">
        <v>9.51</v>
      </c>
      <c r="H19" s="3">
        <v>18.29</v>
      </c>
      <c r="I19" s="3">
        <v>3.72</v>
      </c>
      <c r="J19" s="3">
        <v>32.46</v>
      </c>
      <c r="K19" s="3">
        <v>6.2</v>
      </c>
      <c r="L19" s="3">
        <v>315.70999999999998</v>
      </c>
      <c r="M19" s="3">
        <v>6.79</v>
      </c>
      <c r="N19" s="129">
        <v>1824.8</v>
      </c>
      <c r="O19" s="3">
        <v>7.64</v>
      </c>
      <c r="Q19" s="128" t="s">
        <v>43</v>
      </c>
      <c r="R19" s="3">
        <v>3314</v>
      </c>
      <c r="S19" s="3">
        <v>3257</v>
      </c>
      <c r="T19" s="3">
        <v>3066</v>
      </c>
      <c r="U19" s="3">
        <v>3111</v>
      </c>
      <c r="V19" s="3">
        <v>3396</v>
      </c>
      <c r="W19" s="3">
        <v>3173</v>
      </c>
      <c r="Y19" s="130" t="s">
        <v>152</v>
      </c>
      <c r="Z19" s="3">
        <v>0.03</v>
      </c>
      <c r="AA19" s="3">
        <v>0.03</v>
      </c>
      <c r="AB19" s="3">
        <v>0.14000000000000001</v>
      </c>
      <c r="AC19" s="3">
        <v>0.08</v>
      </c>
      <c r="AD19" s="3">
        <v>0.05</v>
      </c>
      <c r="AE19" s="3">
        <v>0.08</v>
      </c>
      <c r="AF19" s="129">
        <v>90758.080000000002</v>
      </c>
      <c r="AG19" s="3">
        <v>127.52</v>
      </c>
      <c r="AI19" s="130" t="s">
        <v>35</v>
      </c>
      <c r="AJ19" s="131" t="s">
        <v>58</v>
      </c>
      <c r="AK19" s="3">
        <v>0.78</v>
      </c>
      <c r="AL19" s="3">
        <v>1.71</v>
      </c>
      <c r="AM19" s="3">
        <v>7</v>
      </c>
      <c r="AN19" s="3">
        <v>1.59</v>
      </c>
      <c r="AO19" s="3">
        <v>13.05</v>
      </c>
      <c r="AP19" s="3">
        <v>1.63</v>
      </c>
      <c r="AQ19" s="3">
        <v>19.920000000000002</v>
      </c>
      <c r="AR19" s="3">
        <v>1.57</v>
      </c>
      <c r="AS19" s="3">
        <v>21.3</v>
      </c>
      <c r="AT19" s="3">
        <v>1.55</v>
      </c>
      <c r="AU19" s="3">
        <v>12.8</v>
      </c>
      <c r="AV19" s="3">
        <v>1.59</v>
      </c>
    </row>
    <row r="20" spans="1:48" ht="27.75" customHeight="1" thickBot="1" x14ac:dyDescent="0.3">
      <c r="A20" s="130" t="s">
        <v>2</v>
      </c>
      <c r="B20" s="3">
        <v>155.36000000000001</v>
      </c>
      <c r="C20" s="3">
        <v>3.69</v>
      </c>
      <c r="D20" s="3">
        <v>271.45999999999998</v>
      </c>
      <c r="E20" s="3">
        <v>3.81</v>
      </c>
      <c r="F20" s="3">
        <v>221.94</v>
      </c>
      <c r="G20" s="3">
        <v>3.23</v>
      </c>
      <c r="H20" s="3">
        <v>18.170000000000002</v>
      </c>
      <c r="I20" s="3">
        <v>3.7</v>
      </c>
      <c r="J20" s="3">
        <v>17.670000000000002</v>
      </c>
      <c r="K20" s="3">
        <v>3.37</v>
      </c>
      <c r="L20" s="3">
        <v>178.02</v>
      </c>
      <c r="M20" s="3">
        <v>3.83</v>
      </c>
      <c r="N20" s="3">
        <v>862.61</v>
      </c>
      <c r="O20" s="3">
        <v>3.61</v>
      </c>
      <c r="Q20" s="130" t="s">
        <v>44</v>
      </c>
      <c r="R20" s="3">
        <v>2409</v>
      </c>
      <c r="S20" s="3">
        <v>2256</v>
      </c>
      <c r="T20" s="3">
        <v>2149</v>
      </c>
      <c r="U20" s="3">
        <v>2006</v>
      </c>
      <c r="V20" s="3">
        <v>2287</v>
      </c>
      <c r="W20" s="3">
        <v>2166</v>
      </c>
      <c r="Y20" s="130" t="s">
        <v>45</v>
      </c>
      <c r="Z20" s="3">
        <v>0.66</v>
      </c>
      <c r="AA20" s="3">
        <v>1.26</v>
      </c>
      <c r="AB20" s="3">
        <v>1.82</v>
      </c>
      <c r="AC20" s="3">
        <v>1.76</v>
      </c>
      <c r="AD20" s="3">
        <v>2.54</v>
      </c>
      <c r="AE20" s="3">
        <v>1.67</v>
      </c>
      <c r="AF20" s="129">
        <v>1785112.96</v>
      </c>
      <c r="AG20" s="129">
        <v>2508.17</v>
      </c>
      <c r="AI20" s="130" t="s">
        <v>38</v>
      </c>
      <c r="AJ20" s="131" t="s">
        <v>58</v>
      </c>
      <c r="AK20" s="3">
        <v>0</v>
      </c>
      <c r="AL20" s="3">
        <v>3.42</v>
      </c>
      <c r="AM20" s="3">
        <v>0</v>
      </c>
      <c r="AN20" s="3">
        <v>3.43</v>
      </c>
      <c r="AO20" s="3">
        <v>0.01</v>
      </c>
      <c r="AP20" s="3">
        <v>3.5</v>
      </c>
      <c r="AQ20" s="3">
        <v>0.05</v>
      </c>
      <c r="AR20" s="3">
        <v>3.48</v>
      </c>
      <c r="AS20" s="3">
        <v>0.03</v>
      </c>
      <c r="AT20" s="3">
        <v>3.49</v>
      </c>
      <c r="AU20" s="3">
        <v>0.02</v>
      </c>
      <c r="AV20" s="3">
        <v>3.48</v>
      </c>
    </row>
    <row r="21" spans="1:48" ht="27.75" customHeight="1" thickBot="1" x14ac:dyDescent="0.3">
      <c r="A21" s="130" t="s">
        <v>14</v>
      </c>
      <c r="B21" s="3" t="s">
        <v>139</v>
      </c>
      <c r="C21" s="3" t="s">
        <v>139</v>
      </c>
      <c r="D21" s="3" t="s">
        <v>139</v>
      </c>
      <c r="E21" s="3" t="s">
        <v>139</v>
      </c>
      <c r="F21" s="3" t="s">
        <v>139</v>
      </c>
      <c r="G21" s="3" t="s">
        <v>139</v>
      </c>
      <c r="H21" s="3" t="s">
        <v>139</v>
      </c>
      <c r="I21" s="3" t="s">
        <v>139</v>
      </c>
      <c r="J21" s="3" t="s">
        <v>139</v>
      </c>
      <c r="K21" s="3" t="s">
        <v>139</v>
      </c>
      <c r="L21" s="3" t="s">
        <v>139</v>
      </c>
      <c r="M21" s="3" t="s">
        <v>139</v>
      </c>
      <c r="N21" s="3" t="s">
        <v>139</v>
      </c>
      <c r="O21" s="3" t="s">
        <v>139</v>
      </c>
      <c r="Q21" s="130" t="s">
        <v>152</v>
      </c>
      <c r="R21" s="3">
        <v>2232</v>
      </c>
      <c r="S21" s="3">
        <v>2232</v>
      </c>
      <c r="T21" s="3">
        <v>2510</v>
      </c>
      <c r="U21" s="3">
        <v>2445</v>
      </c>
      <c r="V21" s="3">
        <v>2232</v>
      </c>
      <c r="W21" s="3">
        <v>2439</v>
      </c>
      <c r="Y21" s="130" t="s">
        <v>46</v>
      </c>
      <c r="Z21" s="3">
        <v>1.71</v>
      </c>
      <c r="AA21" s="3">
        <v>3.91</v>
      </c>
      <c r="AB21" s="3">
        <v>3.42</v>
      </c>
      <c r="AC21" s="3">
        <v>11.63</v>
      </c>
      <c r="AD21" s="3">
        <v>23.65</v>
      </c>
      <c r="AE21" s="3">
        <v>7.87</v>
      </c>
      <c r="AF21" s="129">
        <v>8416352.2599999998</v>
      </c>
      <c r="AG21" s="129">
        <v>11825.37</v>
      </c>
      <c r="AI21" s="130" t="s">
        <v>31</v>
      </c>
      <c r="AJ21" s="131" t="s">
        <v>58</v>
      </c>
      <c r="AK21" s="3">
        <v>0.04</v>
      </c>
      <c r="AL21" s="3">
        <v>1.33</v>
      </c>
      <c r="AM21" s="3">
        <v>0.01</v>
      </c>
      <c r="AN21" s="3">
        <v>1.23</v>
      </c>
      <c r="AO21" s="3">
        <v>0.05</v>
      </c>
      <c r="AP21" s="3">
        <v>1.37</v>
      </c>
      <c r="AQ21" s="3">
        <v>0.04</v>
      </c>
      <c r="AR21" s="3">
        <v>1.34</v>
      </c>
      <c r="AS21" s="3">
        <v>0.02</v>
      </c>
      <c r="AT21" s="3">
        <v>1.05</v>
      </c>
      <c r="AU21" s="3">
        <v>0.04</v>
      </c>
      <c r="AV21" s="3">
        <v>1.32</v>
      </c>
    </row>
    <row r="22" spans="1:48" ht="15.75" thickBot="1" x14ac:dyDescent="0.3">
      <c r="A22" s="130" t="s">
        <v>15</v>
      </c>
      <c r="B22" s="3">
        <v>155.36000000000001</v>
      </c>
      <c r="C22" s="3">
        <v>3.69</v>
      </c>
      <c r="D22" s="3">
        <v>271.45999999999998</v>
      </c>
      <c r="E22" s="3">
        <v>3.81</v>
      </c>
      <c r="F22" s="3">
        <v>221.94</v>
      </c>
      <c r="G22" s="3">
        <v>3.23</v>
      </c>
      <c r="H22" s="3">
        <v>18.170000000000002</v>
      </c>
      <c r="I22" s="3">
        <v>3.7</v>
      </c>
      <c r="J22" s="3">
        <v>17.670000000000002</v>
      </c>
      <c r="K22" s="3">
        <v>3.37</v>
      </c>
      <c r="L22" s="3">
        <v>178.02</v>
      </c>
      <c r="M22" s="3">
        <v>3.83</v>
      </c>
      <c r="N22" s="3">
        <v>862.61</v>
      </c>
      <c r="O22" s="3">
        <v>3.61</v>
      </c>
      <c r="Q22" s="130" t="s">
        <v>45</v>
      </c>
      <c r="R22" s="3">
        <v>4388</v>
      </c>
      <c r="S22" s="3">
        <v>4386</v>
      </c>
      <c r="T22" s="3">
        <v>3821</v>
      </c>
      <c r="U22" s="3">
        <v>3840</v>
      </c>
      <c r="V22" s="3">
        <v>4221</v>
      </c>
      <c r="W22" s="3">
        <v>4021</v>
      </c>
      <c r="Y22" s="130" t="s">
        <v>47</v>
      </c>
      <c r="Z22" s="3">
        <v>0.12</v>
      </c>
      <c r="AA22" s="3">
        <v>0.36</v>
      </c>
      <c r="AB22" s="3">
        <v>0.74</v>
      </c>
      <c r="AC22" s="3">
        <v>0.53</v>
      </c>
      <c r="AD22" s="3">
        <v>0.46</v>
      </c>
      <c r="AE22" s="3">
        <v>0.51</v>
      </c>
      <c r="AF22" s="129">
        <v>547935.02</v>
      </c>
      <c r="AG22" s="3">
        <v>769.87</v>
      </c>
      <c r="AI22" s="130" t="s">
        <v>42</v>
      </c>
      <c r="AJ22" s="131" t="s">
        <v>56</v>
      </c>
      <c r="AK22" s="3">
        <v>0</v>
      </c>
      <c r="AL22" s="3">
        <v>18.54</v>
      </c>
      <c r="AM22" s="3">
        <v>0.03</v>
      </c>
      <c r="AN22" s="3">
        <v>12.84</v>
      </c>
      <c r="AO22" s="3">
        <v>0.03</v>
      </c>
      <c r="AP22" s="3">
        <v>9.34</v>
      </c>
      <c r="AQ22" s="3">
        <v>0.13</v>
      </c>
      <c r="AR22" s="3">
        <v>6.23</v>
      </c>
      <c r="AS22" s="3">
        <v>0.12</v>
      </c>
      <c r="AT22" s="3">
        <v>7.06</v>
      </c>
      <c r="AU22" s="3">
        <v>0.06</v>
      </c>
      <c r="AV22" s="3">
        <v>7.74</v>
      </c>
    </row>
    <row r="23" spans="1:48" ht="15.75" thickBot="1" x14ac:dyDescent="0.3">
      <c r="A23" s="130" t="s">
        <v>4</v>
      </c>
      <c r="B23" s="3">
        <v>142.12</v>
      </c>
      <c r="C23" s="3">
        <v>3.38</v>
      </c>
      <c r="D23" s="3">
        <v>234.12</v>
      </c>
      <c r="E23" s="3">
        <v>3.29</v>
      </c>
      <c r="F23" s="3">
        <v>433.58</v>
      </c>
      <c r="G23" s="3">
        <v>6.3</v>
      </c>
      <c r="H23" s="3">
        <v>0.12</v>
      </c>
      <c r="I23" s="3">
        <v>0.02</v>
      </c>
      <c r="J23" s="3">
        <v>14.79</v>
      </c>
      <c r="K23" s="3">
        <v>2.82</v>
      </c>
      <c r="L23" s="3">
        <v>135.44999999999999</v>
      </c>
      <c r="M23" s="3">
        <v>2.91</v>
      </c>
      <c r="N23" s="3">
        <v>960.18</v>
      </c>
      <c r="O23" s="3">
        <v>4.0199999999999996</v>
      </c>
      <c r="Q23" s="130" t="s">
        <v>46</v>
      </c>
      <c r="R23" s="3">
        <v>112</v>
      </c>
      <c r="S23" s="3">
        <v>222</v>
      </c>
      <c r="T23" s="3">
        <v>328</v>
      </c>
      <c r="U23" s="3">
        <v>231</v>
      </c>
      <c r="V23" s="3">
        <v>217</v>
      </c>
      <c r="W23" s="3">
        <v>236</v>
      </c>
      <c r="Y23" s="130" t="s">
        <v>179</v>
      </c>
      <c r="Z23" s="3">
        <v>0</v>
      </c>
      <c r="AA23" s="3">
        <v>0</v>
      </c>
      <c r="AB23" s="3">
        <v>0</v>
      </c>
      <c r="AC23" s="3">
        <v>0</v>
      </c>
      <c r="AD23" s="3">
        <v>0.01</v>
      </c>
      <c r="AE23" s="3">
        <v>0</v>
      </c>
      <c r="AF23" s="129">
        <v>2589.27</v>
      </c>
      <c r="AG23" s="3">
        <v>3.64</v>
      </c>
      <c r="AI23" s="130" t="s">
        <v>42</v>
      </c>
      <c r="AJ23" s="131" t="s">
        <v>58</v>
      </c>
      <c r="AK23" s="3">
        <v>1.05</v>
      </c>
      <c r="AL23" s="3">
        <v>3.12</v>
      </c>
      <c r="AM23" s="3">
        <v>3.31</v>
      </c>
      <c r="AN23" s="3">
        <v>2.98</v>
      </c>
      <c r="AO23" s="3">
        <v>6.42</v>
      </c>
      <c r="AP23" s="3">
        <v>2.98</v>
      </c>
      <c r="AQ23" s="3">
        <v>6.73</v>
      </c>
      <c r="AR23" s="3">
        <v>2.97</v>
      </c>
      <c r="AS23" s="3">
        <v>7.26</v>
      </c>
      <c r="AT23" s="3">
        <v>3.02</v>
      </c>
      <c r="AU23" s="3">
        <v>5.34</v>
      </c>
      <c r="AV23" s="3">
        <v>2.99</v>
      </c>
    </row>
    <row r="24" spans="1:48" ht="27.75" customHeight="1" thickBot="1" x14ac:dyDescent="0.3">
      <c r="A24" s="130" t="s">
        <v>12</v>
      </c>
      <c r="B24" s="3">
        <v>0.98</v>
      </c>
      <c r="C24" s="3">
        <v>0.02</v>
      </c>
      <c r="D24" s="3">
        <v>-0.04</v>
      </c>
      <c r="E24" s="3">
        <v>0</v>
      </c>
      <c r="F24" s="3">
        <v>-1.1499999999999999</v>
      </c>
      <c r="G24" s="3">
        <v>-0.02</v>
      </c>
      <c r="H24" s="3" t="s">
        <v>139</v>
      </c>
      <c r="I24" s="3" t="s">
        <v>139</v>
      </c>
      <c r="J24" s="3" t="s">
        <v>139</v>
      </c>
      <c r="K24" s="3" t="s">
        <v>139</v>
      </c>
      <c r="L24" s="3">
        <v>2.23</v>
      </c>
      <c r="M24" s="3">
        <v>0.05</v>
      </c>
      <c r="N24" s="3">
        <v>2.0099999999999998</v>
      </c>
      <c r="O24" s="3">
        <v>0.01</v>
      </c>
      <c r="Q24" s="130" t="s">
        <v>47</v>
      </c>
      <c r="R24" s="3">
        <v>1626</v>
      </c>
      <c r="S24" s="3">
        <v>1457</v>
      </c>
      <c r="T24" s="3">
        <v>1387</v>
      </c>
      <c r="U24" s="3">
        <v>1493</v>
      </c>
      <c r="V24" s="3">
        <v>1558</v>
      </c>
      <c r="W24" s="3">
        <v>1446</v>
      </c>
      <c r="Y24" s="130" t="s">
        <v>180</v>
      </c>
      <c r="Z24" s="3">
        <v>-0.16</v>
      </c>
      <c r="AA24" s="3">
        <v>-0.12</v>
      </c>
      <c r="AB24" s="3">
        <v>-7.0000000000000007E-2</v>
      </c>
      <c r="AC24" s="3">
        <v>-0.15</v>
      </c>
      <c r="AD24" s="3">
        <v>-0.06</v>
      </c>
      <c r="AE24" s="3">
        <v>-0.1</v>
      </c>
      <c r="AF24" s="129">
        <v>-110021.82</v>
      </c>
      <c r="AG24" s="3">
        <v>-154.59</v>
      </c>
      <c r="AI24" s="130" t="s">
        <v>42</v>
      </c>
      <c r="AJ24" s="131" t="s">
        <v>57</v>
      </c>
      <c r="AK24" s="3">
        <v>0.05</v>
      </c>
      <c r="AL24" s="3">
        <v>3.54</v>
      </c>
      <c r="AM24" s="3">
        <v>0.42</v>
      </c>
      <c r="AN24" s="3">
        <v>6.5</v>
      </c>
      <c r="AO24" s="3">
        <v>1.56</v>
      </c>
      <c r="AP24" s="3">
        <v>5.65</v>
      </c>
      <c r="AQ24" s="3">
        <v>1.53</v>
      </c>
      <c r="AR24" s="3">
        <v>5.66</v>
      </c>
      <c r="AS24" s="3">
        <v>1.99</v>
      </c>
      <c r="AT24" s="3">
        <v>5.14</v>
      </c>
      <c r="AU24" s="3">
        <v>1.22</v>
      </c>
      <c r="AV24" s="3">
        <v>5.55</v>
      </c>
    </row>
    <row r="25" spans="1:48" ht="54.75" thickBot="1" x14ac:dyDescent="0.3">
      <c r="A25" s="130" t="s">
        <v>171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Q25" s="128" t="s">
        <v>48</v>
      </c>
      <c r="R25" s="3">
        <v>1608</v>
      </c>
      <c r="S25" s="3">
        <v>1712</v>
      </c>
      <c r="T25" s="3">
        <v>1901</v>
      </c>
      <c r="U25" s="3">
        <v>1299</v>
      </c>
      <c r="V25" s="3">
        <v>1183</v>
      </c>
      <c r="W25" s="3">
        <v>1485</v>
      </c>
      <c r="Y25" s="128" t="s">
        <v>48</v>
      </c>
      <c r="Z25" s="3">
        <v>4.17</v>
      </c>
      <c r="AA25" s="3">
        <v>11.24</v>
      </c>
      <c r="AB25" s="3">
        <v>15.57</v>
      </c>
      <c r="AC25" s="3">
        <v>25.2</v>
      </c>
      <c r="AD25" s="3">
        <v>40.380000000000003</v>
      </c>
      <c r="AE25" s="3">
        <v>18.82</v>
      </c>
      <c r="AF25" s="129">
        <v>20132029.73</v>
      </c>
      <c r="AG25" s="129">
        <v>28286.45</v>
      </c>
      <c r="AI25" s="130" t="s">
        <v>47</v>
      </c>
      <c r="AJ25" s="131" t="s">
        <v>58</v>
      </c>
      <c r="AK25" s="3">
        <v>0.12</v>
      </c>
      <c r="AL25" s="3">
        <v>3.52</v>
      </c>
      <c r="AM25" s="3">
        <v>0.36</v>
      </c>
      <c r="AN25" s="3">
        <v>3.6</v>
      </c>
      <c r="AO25" s="3">
        <v>0.74</v>
      </c>
      <c r="AP25" s="3">
        <v>3.64</v>
      </c>
      <c r="AQ25" s="3">
        <v>0.53</v>
      </c>
      <c r="AR25" s="3">
        <v>3.62</v>
      </c>
      <c r="AS25" s="3">
        <v>0.46</v>
      </c>
      <c r="AT25" s="3">
        <v>3.56</v>
      </c>
      <c r="AU25" s="3">
        <v>0.51</v>
      </c>
      <c r="AV25" s="3">
        <v>3.62</v>
      </c>
    </row>
    <row r="26" spans="1:48" ht="27.75" customHeight="1" thickBot="1" x14ac:dyDescent="0.3">
      <c r="A26" s="128" t="s">
        <v>16</v>
      </c>
      <c r="B26" s="129">
        <v>4209.42</v>
      </c>
      <c r="C26" s="3">
        <v>100</v>
      </c>
      <c r="D26" s="129">
        <v>7126.31</v>
      </c>
      <c r="E26" s="3">
        <v>100</v>
      </c>
      <c r="F26" s="129">
        <v>6877.94</v>
      </c>
      <c r="G26" s="3">
        <v>100</v>
      </c>
      <c r="H26" s="3">
        <v>491.61</v>
      </c>
      <c r="I26" s="3">
        <v>100</v>
      </c>
      <c r="J26" s="3">
        <v>523.67999999999995</v>
      </c>
      <c r="K26" s="3">
        <v>100</v>
      </c>
      <c r="L26" s="129">
        <v>4652.01</v>
      </c>
      <c r="M26" s="3">
        <v>100</v>
      </c>
      <c r="N26" s="129">
        <v>23880.98</v>
      </c>
      <c r="O26" s="3">
        <v>100</v>
      </c>
      <c r="Q26" s="130" t="s">
        <v>49</v>
      </c>
      <c r="R26" s="3">
        <v>7056</v>
      </c>
      <c r="S26" s="3">
        <v>4244</v>
      </c>
      <c r="T26" s="3">
        <v>4605</v>
      </c>
      <c r="U26" s="3">
        <v>3590</v>
      </c>
      <c r="V26" s="3">
        <v>3224</v>
      </c>
      <c r="W26" s="3">
        <v>4207</v>
      </c>
      <c r="Y26" s="130" t="s">
        <v>178</v>
      </c>
      <c r="Z26" s="3">
        <v>10.28</v>
      </c>
      <c r="AA26" s="3">
        <v>10.35</v>
      </c>
      <c r="AB26" s="3">
        <v>8.17</v>
      </c>
      <c r="AC26" s="3">
        <v>2.79</v>
      </c>
      <c r="AD26" s="3">
        <v>0.64</v>
      </c>
      <c r="AE26" s="3">
        <v>6.7</v>
      </c>
      <c r="AF26" s="129">
        <v>7173560.7000000002</v>
      </c>
      <c r="AG26" s="129">
        <v>10079.19</v>
      </c>
      <c r="AI26" s="130" t="s">
        <v>32</v>
      </c>
      <c r="AJ26" s="131" t="s">
        <v>58</v>
      </c>
      <c r="AK26" s="3">
        <v>0</v>
      </c>
      <c r="AL26" s="3">
        <v>1.25</v>
      </c>
      <c r="AM26" s="3">
        <v>0.01</v>
      </c>
      <c r="AN26" s="3">
        <v>1.21</v>
      </c>
      <c r="AO26" s="3">
        <v>0.01</v>
      </c>
      <c r="AP26" s="3">
        <v>1.01</v>
      </c>
      <c r="AQ26" s="3">
        <v>0.01</v>
      </c>
      <c r="AR26" s="3">
        <v>1.1200000000000001</v>
      </c>
      <c r="AS26" s="3">
        <v>0</v>
      </c>
      <c r="AT26" s="3">
        <v>1.1299999999999999</v>
      </c>
      <c r="AU26" s="3">
        <v>0.01</v>
      </c>
      <c r="AV26" s="3">
        <v>1.1100000000000001</v>
      </c>
    </row>
    <row r="27" spans="1:48" ht="41.25" customHeight="1" thickBot="1" x14ac:dyDescent="0.3">
      <c r="A27" s="128" t="s">
        <v>17</v>
      </c>
      <c r="B27" s="3">
        <v>185.91</v>
      </c>
      <c r="C27" s="3">
        <v>4.42</v>
      </c>
      <c r="D27" s="3">
        <v>336.36</v>
      </c>
      <c r="E27" s="3">
        <v>4.72</v>
      </c>
      <c r="F27" s="3">
        <v>289.86</v>
      </c>
      <c r="G27" s="3">
        <v>4.21</v>
      </c>
      <c r="H27" s="3">
        <v>22.32</v>
      </c>
      <c r="I27" s="3">
        <v>4.54</v>
      </c>
      <c r="J27" s="3">
        <v>21.51</v>
      </c>
      <c r="K27" s="3">
        <v>4.1100000000000003</v>
      </c>
      <c r="L27" s="3">
        <v>217.25</v>
      </c>
      <c r="M27" s="3">
        <v>4.67</v>
      </c>
      <c r="N27" s="129">
        <v>1073.21</v>
      </c>
      <c r="O27" s="3">
        <v>4.49</v>
      </c>
      <c r="Q27" s="130" t="s">
        <v>50</v>
      </c>
      <c r="R27" s="3">
        <v>983</v>
      </c>
      <c r="S27" s="3">
        <v>1708</v>
      </c>
      <c r="T27" s="3">
        <v>1623</v>
      </c>
      <c r="U27" s="3">
        <v>2172</v>
      </c>
      <c r="V27" s="3">
        <v>1342</v>
      </c>
      <c r="W27" s="3">
        <v>1598</v>
      </c>
      <c r="Y27" s="130" t="s">
        <v>181</v>
      </c>
      <c r="Z27" s="3">
        <v>0</v>
      </c>
      <c r="AA27" s="3">
        <v>0.02</v>
      </c>
      <c r="AB27" s="3">
        <v>0.02</v>
      </c>
      <c r="AC27" s="3">
        <v>0.01</v>
      </c>
      <c r="AD27" s="3" t="s">
        <v>139</v>
      </c>
      <c r="AE27" s="3">
        <v>0.01</v>
      </c>
      <c r="AF27" s="129">
        <v>11206.33</v>
      </c>
      <c r="AG27" s="3">
        <v>15.75</v>
      </c>
      <c r="AI27" s="133" t="s">
        <v>146</v>
      </c>
      <c r="AJ27" s="221" t="s">
        <v>56</v>
      </c>
      <c r="AK27" s="219">
        <v>1.58</v>
      </c>
      <c r="AL27" s="219">
        <v>0.32</v>
      </c>
      <c r="AM27" s="219">
        <v>3.27</v>
      </c>
      <c r="AN27" s="219">
        <v>0.36</v>
      </c>
      <c r="AO27" s="219">
        <v>1.8</v>
      </c>
      <c r="AP27" s="219">
        <v>0.38</v>
      </c>
      <c r="AQ27" s="219">
        <v>6.83</v>
      </c>
      <c r="AR27" s="219">
        <v>0.37</v>
      </c>
      <c r="AS27" s="219">
        <v>16.72</v>
      </c>
      <c r="AT27" s="219">
        <v>0.36</v>
      </c>
      <c r="AU27" s="219">
        <v>5.23</v>
      </c>
      <c r="AV27" s="219">
        <v>0.36</v>
      </c>
    </row>
    <row r="28" spans="1:48" ht="27.75" thickBot="1" x14ac:dyDescent="0.3">
      <c r="A28" s="128" t="s">
        <v>18</v>
      </c>
      <c r="B28" s="129">
        <v>4016.29</v>
      </c>
      <c r="C28" s="3">
        <v>95.41</v>
      </c>
      <c r="D28" s="129">
        <v>6810.81</v>
      </c>
      <c r="E28" s="3">
        <v>95.57</v>
      </c>
      <c r="F28" s="129">
        <v>6577.22</v>
      </c>
      <c r="G28" s="3">
        <v>95.63</v>
      </c>
      <c r="H28" s="3">
        <v>468.93</v>
      </c>
      <c r="I28" s="3">
        <v>95.39</v>
      </c>
      <c r="J28" s="3">
        <v>501.97</v>
      </c>
      <c r="K28" s="3">
        <v>95.85</v>
      </c>
      <c r="L28" s="129">
        <v>4438.33</v>
      </c>
      <c r="M28" s="3">
        <v>95.41</v>
      </c>
      <c r="N28" s="129">
        <v>22813.55</v>
      </c>
      <c r="O28" s="3">
        <v>95.53</v>
      </c>
      <c r="Q28" s="128" t="s">
        <v>52</v>
      </c>
      <c r="R28" s="3">
        <v>1032</v>
      </c>
      <c r="S28" s="3">
        <v>1807</v>
      </c>
      <c r="T28" s="3">
        <v>1713</v>
      </c>
      <c r="U28" s="3">
        <v>2238</v>
      </c>
      <c r="V28" s="3">
        <v>1368</v>
      </c>
      <c r="W28" s="3">
        <v>1672</v>
      </c>
      <c r="Y28" s="130" t="s">
        <v>167</v>
      </c>
      <c r="Z28" s="3">
        <v>0</v>
      </c>
      <c r="AA28" s="3">
        <v>0.02</v>
      </c>
      <c r="AB28" s="3">
        <v>0.01</v>
      </c>
      <c r="AC28" s="3">
        <v>0.01</v>
      </c>
      <c r="AD28" s="3" t="s">
        <v>139</v>
      </c>
      <c r="AE28" s="3">
        <v>0.01</v>
      </c>
      <c r="AF28" s="129">
        <v>6310.06</v>
      </c>
      <c r="AG28" s="3">
        <v>8.8699999999999992</v>
      </c>
      <c r="AI28" s="134" t="s">
        <v>46</v>
      </c>
      <c r="AJ28" s="222"/>
      <c r="AK28" s="220"/>
      <c r="AL28" s="220"/>
      <c r="AM28" s="220"/>
      <c r="AN28" s="220"/>
      <c r="AO28" s="220"/>
      <c r="AP28" s="220"/>
      <c r="AQ28" s="220"/>
      <c r="AR28" s="220"/>
      <c r="AS28" s="220"/>
      <c r="AT28" s="220"/>
      <c r="AU28" s="220"/>
      <c r="AV28" s="220"/>
    </row>
    <row r="29" spans="1:48" ht="27.75" thickBot="1" x14ac:dyDescent="0.3">
      <c r="A29" s="128" t="s">
        <v>19</v>
      </c>
      <c r="B29" s="3">
        <v>6.66</v>
      </c>
      <c r="C29" s="3">
        <v>0.16</v>
      </c>
      <c r="D29" s="3">
        <v>-21.47</v>
      </c>
      <c r="E29" s="3">
        <v>-0.3</v>
      </c>
      <c r="F29" s="3">
        <v>10.37</v>
      </c>
      <c r="G29" s="3">
        <v>0.15</v>
      </c>
      <c r="H29" s="3">
        <v>-0.01</v>
      </c>
      <c r="I29" s="3">
        <v>0</v>
      </c>
      <c r="J29" s="3">
        <v>0.11</v>
      </c>
      <c r="K29" s="3">
        <v>0.02</v>
      </c>
      <c r="L29" s="3">
        <v>-3.62</v>
      </c>
      <c r="M29" s="3">
        <v>-0.08</v>
      </c>
      <c r="N29" s="3">
        <v>-7.94</v>
      </c>
      <c r="O29" s="3">
        <v>-0.03</v>
      </c>
      <c r="Q29" s="128" t="s">
        <v>141</v>
      </c>
      <c r="R29" s="3">
        <v>2248</v>
      </c>
      <c r="S29" s="3">
        <v>2699</v>
      </c>
      <c r="T29" s="3">
        <v>3070</v>
      </c>
      <c r="U29" s="3">
        <v>2656</v>
      </c>
      <c r="V29" s="3">
        <v>2295</v>
      </c>
      <c r="W29" s="3">
        <v>2691</v>
      </c>
      <c r="Y29" s="130" t="s">
        <v>41</v>
      </c>
      <c r="Z29" s="3">
        <v>0.02</v>
      </c>
      <c r="AA29" s="3">
        <v>0.03</v>
      </c>
      <c r="AB29" s="3">
        <v>0.04</v>
      </c>
      <c r="AC29" s="3">
        <v>0.03</v>
      </c>
      <c r="AD29" s="3">
        <v>0.04</v>
      </c>
      <c r="AE29" s="3">
        <v>0.03</v>
      </c>
      <c r="AF29" s="129">
        <v>34580.42</v>
      </c>
      <c r="AG29" s="3">
        <v>48.59</v>
      </c>
      <c r="AI29" s="130" t="s">
        <v>46</v>
      </c>
      <c r="AJ29" s="131" t="s">
        <v>58</v>
      </c>
      <c r="AK29" s="3">
        <v>0.13</v>
      </c>
      <c r="AL29" s="3">
        <v>2.17</v>
      </c>
      <c r="AM29" s="3">
        <v>0.64</v>
      </c>
      <c r="AN29" s="3">
        <v>1.64</v>
      </c>
      <c r="AO29" s="3">
        <v>1.62</v>
      </c>
      <c r="AP29" s="3">
        <v>1.69</v>
      </c>
      <c r="AQ29" s="3">
        <v>4.8</v>
      </c>
      <c r="AR29" s="3">
        <v>1.5</v>
      </c>
      <c r="AS29" s="3">
        <v>6.93</v>
      </c>
      <c r="AT29" s="3">
        <v>1.65</v>
      </c>
      <c r="AU29" s="3">
        <v>2.64</v>
      </c>
      <c r="AV29" s="3">
        <v>1.61</v>
      </c>
    </row>
    <row r="30" spans="1:48" ht="27.75" customHeight="1" thickBot="1" x14ac:dyDescent="0.3">
      <c r="A30" s="128" t="s">
        <v>20</v>
      </c>
      <c r="B30" s="3">
        <v>0.56000000000000005</v>
      </c>
      <c r="C30" s="3">
        <v>0.01</v>
      </c>
      <c r="D30" s="3">
        <v>0.6</v>
      </c>
      <c r="E30" s="3">
        <v>0.01</v>
      </c>
      <c r="F30" s="3">
        <v>0.49</v>
      </c>
      <c r="G30" s="3">
        <v>0.01</v>
      </c>
      <c r="H30" s="3">
        <v>0.36</v>
      </c>
      <c r="I30" s="3">
        <v>7.0000000000000007E-2</v>
      </c>
      <c r="J30" s="3">
        <v>0.09</v>
      </c>
      <c r="K30" s="3">
        <v>0.02</v>
      </c>
      <c r="L30" s="3">
        <v>0.05</v>
      </c>
      <c r="M30" s="3">
        <v>0</v>
      </c>
      <c r="N30" s="3">
        <v>2.16</v>
      </c>
      <c r="O30" s="3">
        <v>0.01</v>
      </c>
      <c r="Y30" s="130" t="s">
        <v>42</v>
      </c>
      <c r="Z30" s="3">
        <v>1.1000000000000001</v>
      </c>
      <c r="AA30" s="3">
        <v>3.76</v>
      </c>
      <c r="AB30" s="3">
        <v>8.01</v>
      </c>
      <c r="AC30" s="3">
        <v>8.4</v>
      </c>
      <c r="AD30" s="3">
        <v>9.3699999999999992</v>
      </c>
      <c r="AE30" s="3">
        <v>6.62</v>
      </c>
      <c r="AF30" s="129">
        <v>7083191.1100000003</v>
      </c>
      <c r="AG30" s="129">
        <v>9952.2199999999993</v>
      </c>
      <c r="AI30" s="130" t="s">
        <v>119</v>
      </c>
      <c r="AJ30" s="131" t="s">
        <v>56</v>
      </c>
      <c r="AK30" s="3">
        <v>0.12</v>
      </c>
      <c r="AL30" s="3">
        <v>0.27</v>
      </c>
      <c r="AM30" s="3">
        <v>0.37</v>
      </c>
      <c r="AN30" s="3">
        <v>0.28000000000000003</v>
      </c>
      <c r="AO30" s="3">
        <v>0.09</v>
      </c>
      <c r="AP30" s="3">
        <v>0.27</v>
      </c>
      <c r="AQ30" s="3">
        <v>0.5</v>
      </c>
      <c r="AR30" s="3">
        <v>0.27</v>
      </c>
      <c r="AS30" s="3">
        <v>2.3199999999999998</v>
      </c>
      <c r="AT30" s="3">
        <v>0.27</v>
      </c>
      <c r="AU30" s="3">
        <v>0.56000000000000005</v>
      </c>
      <c r="AV30" s="3">
        <v>0.27</v>
      </c>
    </row>
    <row r="31" spans="1:48" ht="27.75" thickBot="1" x14ac:dyDescent="0.3">
      <c r="Y31" s="128" t="s">
        <v>43</v>
      </c>
      <c r="Z31" s="3">
        <v>11.41</v>
      </c>
      <c r="AA31" s="3">
        <v>14.18</v>
      </c>
      <c r="AB31" s="3">
        <v>16.239999999999998</v>
      </c>
      <c r="AC31" s="3">
        <v>11.23</v>
      </c>
      <c r="AD31" s="3">
        <v>10.050000000000001</v>
      </c>
      <c r="AE31" s="3">
        <v>13.37</v>
      </c>
      <c r="AF31" s="129">
        <v>14308848.630000001</v>
      </c>
      <c r="AG31" s="129">
        <v>20104.599999999999</v>
      </c>
      <c r="AI31" s="133" t="s">
        <v>147</v>
      </c>
      <c r="AJ31" s="221" t="s">
        <v>165</v>
      </c>
      <c r="AK31" s="219" t="s">
        <v>139</v>
      </c>
      <c r="AL31" s="219" t="s">
        <v>139</v>
      </c>
      <c r="AM31" s="219" t="s">
        <v>139</v>
      </c>
      <c r="AN31" s="219" t="s">
        <v>139</v>
      </c>
      <c r="AO31" s="219">
        <v>0</v>
      </c>
      <c r="AP31" s="219">
        <v>11.04</v>
      </c>
      <c r="AQ31" s="219">
        <v>0.01</v>
      </c>
      <c r="AR31" s="219">
        <v>11.04</v>
      </c>
      <c r="AS31" s="219">
        <v>0.01</v>
      </c>
      <c r="AT31" s="219">
        <v>11.04</v>
      </c>
      <c r="AU31" s="219">
        <v>0</v>
      </c>
      <c r="AV31" s="219">
        <v>11.04</v>
      </c>
    </row>
    <row r="32" spans="1:48" ht="15.75" thickBot="1" x14ac:dyDescent="0.3">
      <c r="Y32" s="130" t="s">
        <v>182</v>
      </c>
      <c r="Z32" s="3">
        <v>0.03</v>
      </c>
      <c r="AA32" s="3">
        <v>0.03</v>
      </c>
      <c r="AB32" s="3">
        <v>7.0000000000000007E-2</v>
      </c>
      <c r="AC32" s="3">
        <v>0.05</v>
      </c>
      <c r="AD32" s="3" t="s">
        <v>139</v>
      </c>
      <c r="AE32" s="3">
        <v>0.05</v>
      </c>
      <c r="AF32" s="129">
        <v>48493.69</v>
      </c>
      <c r="AG32" s="3">
        <v>68.14</v>
      </c>
      <c r="AI32" s="134" t="s">
        <v>49</v>
      </c>
      <c r="AJ32" s="222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</row>
    <row r="33" spans="25:48" ht="15.75" thickBot="1" x14ac:dyDescent="0.3">
      <c r="Y33" s="130" t="s">
        <v>183</v>
      </c>
      <c r="Z33" s="3">
        <v>2.2599999999999998</v>
      </c>
      <c r="AA33" s="3">
        <v>2.2999999999999998</v>
      </c>
      <c r="AB33" s="3">
        <v>1.93</v>
      </c>
      <c r="AC33" s="3">
        <v>0.65</v>
      </c>
      <c r="AD33" s="3" t="s">
        <v>139</v>
      </c>
      <c r="AE33" s="3">
        <v>1.51</v>
      </c>
      <c r="AF33" s="129">
        <v>1616029.1</v>
      </c>
      <c r="AG33" s="129">
        <v>2270.6</v>
      </c>
      <c r="AI33" s="130" t="s">
        <v>49</v>
      </c>
      <c r="AJ33" s="131" t="s">
        <v>61</v>
      </c>
      <c r="AK33" s="3" t="s">
        <v>139</v>
      </c>
      <c r="AL33" s="3" t="s">
        <v>139</v>
      </c>
      <c r="AM33" s="3">
        <v>0.02</v>
      </c>
      <c r="AN33" s="3">
        <v>6.15</v>
      </c>
      <c r="AO33" s="3">
        <v>0.02</v>
      </c>
      <c r="AP33" s="3">
        <v>6.15</v>
      </c>
      <c r="AQ33" s="3">
        <v>0.03</v>
      </c>
      <c r="AR33" s="3">
        <v>6.15</v>
      </c>
      <c r="AS33" s="3">
        <v>0.02</v>
      </c>
      <c r="AT33" s="3">
        <v>6.15</v>
      </c>
      <c r="AU33" s="3">
        <v>0.02</v>
      </c>
      <c r="AV33" s="3">
        <v>6.15</v>
      </c>
    </row>
    <row r="34" spans="25:48" ht="15.75" thickBot="1" x14ac:dyDescent="0.3">
      <c r="Y34" s="130" t="s">
        <v>184</v>
      </c>
      <c r="Z34" s="3">
        <v>0</v>
      </c>
      <c r="AA34" s="3">
        <v>0</v>
      </c>
      <c r="AB34" s="3">
        <v>0.03</v>
      </c>
      <c r="AC34" s="3">
        <v>0.01</v>
      </c>
      <c r="AD34" s="3">
        <v>0.03</v>
      </c>
      <c r="AE34" s="3">
        <v>0.02</v>
      </c>
      <c r="AF34" s="129">
        <v>19294.34</v>
      </c>
      <c r="AG34" s="3">
        <v>27.11</v>
      </c>
      <c r="AI34" s="130" t="s">
        <v>49</v>
      </c>
      <c r="AJ34" s="131" t="s">
        <v>58</v>
      </c>
      <c r="AK34" s="3">
        <v>0.01</v>
      </c>
      <c r="AL34" s="3">
        <v>2.8</v>
      </c>
      <c r="AM34" s="3">
        <v>0.03</v>
      </c>
      <c r="AN34" s="3">
        <v>2.8</v>
      </c>
      <c r="AO34" s="3">
        <v>0.04</v>
      </c>
      <c r="AP34" s="3">
        <v>2.8</v>
      </c>
      <c r="AQ34" s="3">
        <v>0.04</v>
      </c>
      <c r="AR34" s="3">
        <v>2.8</v>
      </c>
      <c r="AS34" s="3">
        <v>0.01</v>
      </c>
      <c r="AT34" s="3">
        <v>2.8</v>
      </c>
      <c r="AU34" s="3">
        <v>0.03</v>
      </c>
      <c r="AV34" s="3">
        <v>2.8</v>
      </c>
    </row>
    <row r="35" spans="25:48" ht="15.75" thickBot="1" x14ac:dyDescent="0.3">
      <c r="Y35" s="130" t="s">
        <v>185</v>
      </c>
      <c r="Z35" s="3" t="s">
        <v>139</v>
      </c>
      <c r="AA35" s="3">
        <v>0.01</v>
      </c>
      <c r="AB35" s="3">
        <v>0</v>
      </c>
      <c r="AC35" s="3">
        <v>0</v>
      </c>
      <c r="AD35" s="3" t="s">
        <v>139</v>
      </c>
      <c r="AE35" s="3">
        <v>0</v>
      </c>
      <c r="AF35" s="129">
        <v>3430.06</v>
      </c>
      <c r="AG35" s="3">
        <v>4.82</v>
      </c>
      <c r="AI35" s="130" t="s">
        <v>49</v>
      </c>
      <c r="AJ35" s="131" t="s">
        <v>57</v>
      </c>
      <c r="AK35" s="3" t="s">
        <v>139</v>
      </c>
      <c r="AL35" s="3" t="s">
        <v>139</v>
      </c>
      <c r="AM35" s="3">
        <v>0</v>
      </c>
      <c r="AN35" s="3">
        <v>5.25</v>
      </c>
      <c r="AO35" s="3">
        <v>0.01</v>
      </c>
      <c r="AP35" s="3">
        <v>5.92</v>
      </c>
      <c r="AQ35" s="3">
        <v>0.01</v>
      </c>
      <c r="AR35" s="3">
        <v>5.25</v>
      </c>
      <c r="AS35" s="3" t="s">
        <v>139</v>
      </c>
      <c r="AT35" s="3" t="s">
        <v>139</v>
      </c>
      <c r="AU35" s="3">
        <v>0.01</v>
      </c>
      <c r="AV35" s="3">
        <v>5.59</v>
      </c>
    </row>
    <row r="36" spans="25:48" ht="15.75" thickBot="1" x14ac:dyDescent="0.3">
      <c r="Y36" s="130" t="s">
        <v>186</v>
      </c>
      <c r="Z36" s="3" t="s">
        <v>139</v>
      </c>
      <c r="AA36" s="3" t="s">
        <v>139</v>
      </c>
      <c r="AB36" s="3">
        <v>0</v>
      </c>
      <c r="AC36" s="3" t="s">
        <v>139</v>
      </c>
      <c r="AD36" s="3" t="s">
        <v>139</v>
      </c>
      <c r="AE36" s="3">
        <v>0</v>
      </c>
      <c r="AF36" s="129">
        <v>1845.04</v>
      </c>
      <c r="AG36" s="3">
        <v>2.59</v>
      </c>
      <c r="AI36" s="130" t="s">
        <v>50</v>
      </c>
      <c r="AJ36" s="131" t="s">
        <v>163</v>
      </c>
      <c r="AK36" s="3">
        <v>0</v>
      </c>
      <c r="AL36" s="3">
        <v>2.58</v>
      </c>
      <c r="AM36" s="3" t="s">
        <v>139</v>
      </c>
      <c r="AN36" s="3" t="s">
        <v>139</v>
      </c>
      <c r="AO36" s="3" t="s">
        <v>139</v>
      </c>
      <c r="AP36" s="3" t="s">
        <v>139</v>
      </c>
      <c r="AQ36" s="3" t="s">
        <v>139</v>
      </c>
      <c r="AR36" s="3" t="s">
        <v>139</v>
      </c>
      <c r="AS36" s="3" t="s">
        <v>139</v>
      </c>
      <c r="AT36" s="3" t="s">
        <v>139</v>
      </c>
      <c r="AU36" s="3">
        <v>0</v>
      </c>
      <c r="AV36" s="3">
        <v>2.58</v>
      </c>
    </row>
    <row r="37" spans="25:48" ht="95.25" thickBot="1" x14ac:dyDescent="0.3">
      <c r="Y37" s="128" t="s">
        <v>187</v>
      </c>
      <c r="Z37" s="3">
        <v>2.2999999999999998</v>
      </c>
      <c r="AA37" s="3">
        <v>2.34</v>
      </c>
      <c r="AB37" s="3">
        <v>2.04</v>
      </c>
      <c r="AC37" s="3">
        <v>0.71</v>
      </c>
      <c r="AD37" s="3">
        <v>0.03</v>
      </c>
      <c r="AE37" s="3">
        <v>1.58</v>
      </c>
      <c r="AF37" s="129">
        <v>1689092.24</v>
      </c>
      <c r="AG37" s="129">
        <v>2373.25</v>
      </c>
      <c r="AI37" s="130" t="s">
        <v>50</v>
      </c>
      <c r="AJ37" s="131" t="s">
        <v>60</v>
      </c>
      <c r="AK37" s="3">
        <v>0.02</v>
      </c>
      <c r="AL37" s="3">
        <v>12.26</v>
      </c>
      <c r="AM37" s="3">
        <v>0.02</v>
      </c>
      <c r="AN37" s="3">
        <v>12.26</v>
      </c>
      <c r="AO37" s="3">
        <v>0.03</v>
      </c>
      <c r="AP37" s="3">
        <v>12.39</v>
      </c>
      <c r="AQ37" s="3">
        <v>0.04</v>
      </c>
      <c r="AR37" s="3">
        <v>12.26</v>
      </c>
      <c r="AS37" s="3">
        <v>0.01</v>
      </c>
      <c r="AT37" s="3">
        <v>12.26</v>
      </c>
      <c r="AU37" s="3">
        <v>0.03</v>
      </c>
      <c r="AV37" s="3">
        <v>12.32</v>
      </c>
    </row>
    <row r="38" spans="25:48" ht="15.75" thickBot="1" x14ac:dyDescent="0.3">
      <c r="Y38" s="130" t="s">
        <v>181</v>
      </c>
      <c r="Z38" s="3">
        <v>0</v>
      </c>
      <c r="AA38" s="3">
        <v>0</v>
      </c>
      <c r="AB38" s="3" t="s">
        <v>139</v>
      </c>
      <c r="AC38" s="3" t="s">
        <v>139</v>
      </c>
      <c r="AD38" s="3" t="s">
        <v>139</v>
      </c>
      <c r="AE38" s="3">
        <v>0</v>
      </c>
      <c r="AF38" s="3">
        <v>517.51</v>
      </c>
      <c r="AG38" s="3">
        <v>0.73</v>
      </c>
      <c r="AI38" s="130" t="s">
        <v>50</v>
      </c>
      <c r="AJ38" s="131" t="s">
        <v>166</v>
      </c>
      <c r="AK38" s="3">
        <v>0</v>
      </c>
      <c r="AL38" s="3">
        <v>0.48</v>
      </c>
      <c r="AM38" s="3" t="s">
        <v>139</v>
      </c>
      <c r="AN38" s="3" t="s">
        <v>139</v>
      </c>
      <c r="AO38" s="3" t="s">
        <v>139</v>
      </c>
      <c r="AP38" s="3" t="s">
        <v>139</v>
      </c>
      <c r="AQ38" s="3" t="s">
        <v>139</v>
      </c>
      <c r="AR38" s="3" t="s">
        <v>139</v>
      </c>
      <c r="AS38" s="3" t="s">
        <v>139</v>
      </c>
      <c r="AT38" s="3" t="s">
        <v>139</v>
      </c>
      <c r="AU38" s="3">
        <v>0</v>
      </c>
      <c r="AV38" s="3">
        <v>0.48</v>
      </c>
    </row>
    <row r="39" spans="25:48" ht="15.75" thickBot="1" x14ac:dyDescent="0.3">
      <c r="Y39" s="130" t="s">
        <v>188</v>
      </c>
      <c r="Z39" s="3">
        <v>0.04</v>
      </c>
      <c r="AA39" s="3">
        <v>0.04</v>
      </c>
      <c r="AB39" s="3">
        <v>0.03</v>
      </c>
      <c r="AC39" s="3">
        <v>0.01</v>
      </c>
      <c r="AD39" s="3">
        <v>0</v>
      </c>
      <c r="AE39" s="3">
        <v>0.03</v>
      </c>
      <c r="AF39" s="129">
        <v>26992.76</v>
      </c>
      <c r="AG39" s="3">
        <v>37.93</v>
      </c>
      <c r="AI39" s="130" t="s">
        <v>50</v>
      </c>
      <c r="AJ39" s="131" t="s">
        <v>62</v>
      </c>
      <c r="AK39" s="3" t="s">
        <v>139</v>
      </c>
      <c r="AL39" s="3" t="s">
        <v>139</v>
      </c>
      <c r="AM39" s="3">
        <v>0</v>
      </c>
      <c r="AN39" s="3">
        <v>1.51</v>
      </c>
      <c r="AO39" s="3" t="s">
        <v>139</v>
      </c>
      <c r="AP39" s="3" t="s">
        <v>139</v>
      </c>
      <c r="AQ39" s="3" t="s">
        <v>139</v>
      </c>
      <c r="AR39" s="3" t="s">
        <v>139</v>
      </c>
      <c r="AS39" s="3" t="s">
        <v>139</v>
      </c>
      <c r="AT39" s="3" t="s">
        <v>139</v>
      </c>
      <c r="AU39" s="3">
        <v>0</v>
      </c>
      <c r="AV39" s="3">
        <v>1.51</v>
      </c>
    </row>
    <row r="40" spans="25:48" ht="15.75" thickBot="1" x14ac:dyDescent="0.3">
      <c r="Y40" s="130" t="s">
        <v>49</v>
      </c>
      <c r="Z40" s="3">
        <v>0.01</v>
      </c>
      <c r="AA40" s="3">
        <v>0.05</v>
      </c>
      <c r="AB40" s="3">
        <v>7.0000000000000007E-2</v>
      </c>
      <c r="AC40" s="3">
        <v>0.09</v>
      </c>
      <c r="AD40" s="3">
        <v>0.03</v>
      </c>
      <c r="AE40" s="3">
        <v>0.06</v>
      </c>
      <c r="AF40" s="129">
        <v>59587.15</v>
      </c>
      <c r="AG40" s="3">
        <v>83.72</v>
      </c>
      <c r="AI40" s="130" t="s">
        <v>50</v>
      </c>
      <c r="AJ40" s="131" t="s">
        <v>61</v>
      </c>
      <c r="AK40" s="3">
        <v>0.44</v>
      </c>
      <c r="AL40" s="3">
        <v>6.26</v>
      </c>
      <c r="AM40" s="3">
        <v>0.92</v>
      </c>
      <c r="AN40" s="3">
        <v>3.99</v>
      </c>
      <c r="AO40" s="3">
        <v>1.21</v>
      </c>
      <c r="AP40" s="3">
        <v>4.08</v>
      </c>
      <c r="AQ40" s="3">
        <v>1.41</v>
      </c>
      <c r="AR40" s="3">
        <v>2.66</v>
      </c>
      <c r="AS40" s="3">
        <v>1.22</v>
      </c>
      <c r="AT40" s="3">
        <v>4.3600000000000003</v>
      </c>
      <c r="AU40" s="3">
        <v>1.0900000000000001</v>
      </c>
      <c r="AV40" s="3">
        <v>3.93</v>
      </c>
    </row>
    <row r="41" spans="25:48" ht="15.75" thickBot="1" x14ac:dyDescent="0.3">
      <c r="Y41" s="130" t="s">
        <v>189</v>
      </c>
      <c r="Z41" s="3">
        <v>0.36</v>
      </c>
      <c r="AA41" s="3">
        <v>0.35</v>
      </c>
      <c r="AB41" s="3">
        <v>0.55000000000000004</v>
      </c>
      <c r="AC41" s="3">
        <v>0.4</v>
      </c>
      <c r="AD41" s="3" t="s">
        <v>139</v>
      </c>
      <c r="AE41" s="3">
        <v>0.38</v>
      </c>
      <c r="AF41" s="129">
        <v>405534.97</v>
      </c>
      <c r="AG41" s="3">
        <v>569.79999999999995</v>
      </c>
      <c r="AI41" s="130" t="s">
        <v>50</v>
      </c>
      <c r="AJ41" s="131" t="s">
        <v>57</v>
      </c>
      <c r="AK41" s="3">
        <v>0.98</v>
      </c>
      <c r="AL41" s="3">
        <v>0.38</v>
      </c>
      <c r="AM41" s="3">
        <v>0.42</v>
      </c>
      <c r="AN41" s="3">
        <v>0.32</v>
      </c>
      <c r="AO41" s="3">
        <v>0.89</v>
      </c>
      <c r="AP41" s="3">
        <v>0.36</v>
      </c>
      <c r="AQ41" s="3">
        <v>0.41</v>
      </c>
      <c r="AR41" s="3">
        <v>0.37</v>
      </c>
      <c r="AS41" s="3">
        <v>1.1599999999999999</v>
      </c>
      <c r="AT41" s="3">
        <v>0.28999999999999998</v>
      </c>
      <c r="AU41" s="3">
        <v>0.79</v>
      </c>
      <c r="AV41" s="3">
        <v>0.34</v>
      </c>
    </row>
    <row r="42" spans="25:48" ht="15.75" thickBot="1" x14ac:dyDescent="0.3">
      <c r="Y42" s="130" t="s">
        <v>190</v>
      </c>
      <c r="Z42" s="3">
        <v>3.3</v>
      </c>
      <c r="AA42" s="3">
        <v>2.2400000000000002</v>
      </c>
      <c r="AB42" s="3">
        <v>1.79</v>
      </c>
      <c r="AC42" s="3">
        <v>0.9</v>
      </c>
      <c r="AD42" s="3" t="s">
        <v>139</v>
      </c>
      <c r="AE42" s="3">
        <v>1.64</v>
      </c>
      <c r="AF42" s="129">
        <v>1758504.68</v>
      </c>
      <c r="AG42" s="129">
        <v>2470.7800000000002</v>
      </c>
    </row>
    <row r="43" spans="25:48" ht="15.75" thickBot="1" x14ac:dyDescent="0.3">
      <c r="Y43" s="130" t="s">
        <v>191</v>
      </c>
      <c r="Z43" s="3">
        <v>0.04</v>
      </c>
      <c r="AA43" s="3">
        <v>0.12</v>
      </c>
      <c r="AB43" s="3">
        <v>0.18</v>
      </c>
      <c r="AC43" s="3">
        <v>0.1</v>
      </c>
      <c r="AD43" s="3">
        <v>0.16</v>
      </c>
      <c r="AE43" s="3">
        <v>0.13</v>
      </c>
      <c r="AF43" s="129">
        <v>141290.14000000001</v>
      </c>
      <c r="AG43" s="3">
        <v>198.52</v>
      </c>
    </row>
    <row r="44" spans="25:48" ht="15.75" thickBot="1" x14ac:dyDescent="0.3">
      <c r="Y44" s="130" t="s">
        <v>192</v>
      </c>
      <c r="Z44" s="3" t="s">
        <v>139</v>
      </c>
      <c r="AA44" s="3">
        <v>0</v>
      </c>
      <c r="AB44" s="3">
        <v>0</v>
      </c>
      <c r="AC44" s="3">
        <v>0</v>
      </c>
      <c r="AD44" s="3" t="s">
        <v>139</v>
      </c>
      <c r="AE44" s="3">
        <v>0</v>
      </c>
      <c r="AF44" s="3">
        <v>0</v>
      </c>
      <c r="AG44" s="3">
        <v>0</v>
      </c>
    </row>
    <row r="45" spans="25:48" ht="15.75" thickBot="1" x14ac:dyDescent="0.3">
      <c r="Y45" s="130" t="s">
        <v>193</v>
      </c>
      <c r="Z45" s="3">
        <v>0.01</v>
      </c>
      <c r="AA45" s="3">
        <v>0</v>
      </c>
      <c r="AB45" s="3" t="s">
        <v>139</v>
      </c>
      <c r="AC45" s="3" t="s">
        <v>139</v>
      </c>
      <c r="AD45" s="3" t="s">
        <v>139</v>
      </c>
      <c r="AE45" s="3">
        <v>0</v>
      </c>
      <c r="AF45" s="129">
        <v>1164.06</v>
      </c>
      <c r="AG45" s="3">
        <v>1.64</v>
      </c>
    </row>
    <row r="46" spans="25:48" ht="15.75" thickBot="1" x14ac:dyDescent="0.3">
      <c r="Y46" s="130" t="s">
        <v>194</v>
      </c>
      <c r="Z46" s="3">
        <v>13.68</v>
      </c>
      <c r="AA46" s="3">
        <v>12.62</v>
      </c>
      <c r="AB46" s="3">
        <v>12.84</v>
      </c>
      <c r="AC46" s="3">
        <v>10.36</v>
      </c>
      <c r="AD46" s="3">
        <v>0.99</v>
      </c>
      <c r="AE46" s="3">
        <v>10.62</v>
      </c>
      <c r="AF46" s="129">
        <v>11364997.59</v>
      </c>
      <c r="AG46" s="129">
        <v>15968.35</v>
      </c>
    </row>
    <row r="47" spans="25:48" ht="15.75" thickBot="1" x14ac:dyDescent="0.3">
      <c r="Y47" s="130" t="s">
        <v>195</v>
      </c>
      <c r="Z47" s="3">
        <v>46.05</v>
      </c>
      <c r="AA47" s="3">
        <v>29.42</v>
      </c>
      <c r="AB47" s="3">
        <v>17.13</v>
      </c>
      <c r="AC47" s="3">
        <v>7.86</v>
      </c>
      <c r="AD47" s="3" t="s">
        <v>139</v>
      </c>
      <c r="AE47" s="3">
        <v>18.96</v>
      </c>
      <c r="AF47" s="129">
        <v>20283945.379999999</v>
      </c>
      <c r="AG47" s="129">
        <v>28499.9</v>
      </c>
    </row>
    <row r="48" spans="25:48" ht="15.75" thickBot="1" x14ac:dyDescent="0.3">
      <c r="Y48" s="130" t="s">
        <v>50</v>
      </c>
      <c r="Z48" s="3">
        <v>1.44</v>
      </c>
      <c r="AA48" s="3">
        <v>1.36</v>
      </c>
      <c r="AB48" s="3">
        <v>2.13</v>
      </c>
      <c r="AC48" s="3">
        <v>1.86</v>
      </c>
      <c r="AD48" s="3">
        <v>2.39</v>
      </c>
      <c r="AE48" s="3">
        <v>1.9</v>
      </c>
      <c r="AF48" s="129">
        <v>2036392.13</v>
      </c>
      <c r="AG48" s="129">
        <v>2861.23</v>
      </c>
    </row>
    <row r="49" spans="25:33" ht="15.75" thickBot="1" x14ac:dyDescent="0.3">
      <c r="Y49" s="130" t="s">
        <v>196</v>
      </c>
      <c r="Z49" s="3">
        <v>14.26</v>
      </c>
      <c r="AA49" s="3">
        <v>11.54</v>
      </c>
      <c r="AB49" s="3">
        <v>7.67</v>
      </c>
      <c r="AC49" s="3">
        <v>4.9800000000000004</v>
      </c>
      <c r="AD49" s="3">
        <v>3.61</v>
      </c>
      <c r="AE49" s="3">
        <v>8.1300000000000008</v>
      </c>
      <c r="AF49" s="129">
        <v>8699646.7899999991</v>
      </c>
      <c r="AG49" s="129">
        <v>12223.41</v>
      </c>
    </row>
    <row r="50" spans="25:33" ht="15.75" thickBot="1" x14ac:dyDescent="0.3">
      <c r="Y50" s="130" t="s">
        <v>197</v>
      </c>
      <c r="Z50" s="3" t="s">
        <v>139</v>
      </c>
      <c r="AA50" s="3" t="s">
        <v>139</v>
      </c>
      <c r="AB50" s="3">
        <v>0</v>
      </c>
      <c r="AC50" s="3">
        <v>0.02</v>
      </c>
      <c r="AD50" s="3" t="s">
        <v>139</v>
      </c>
      <c r="AE50" s="3">
        <v>0</v>
      </c>
      <c r="AF50" s="129">
        <v>3553.34</v>
      </c>
      <c r="AG50" s="3">
        <v>4.99</v>
      </c>
    </row>
    <row r="51" spans="25:33" ht="15.75" thickBot="1" x14ac:dyDescent="0.3">
      <c r="Y51" s="130" t="s">
        <v>198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-404.86</v>
      </c>
      <c r="AG51" s="3">
        <v>-0.56999999999999995</v>
      </c>
    </row>
    <row r="52" spans="25:33" ht="15.75" thickBot="1" x14ac:dyDescent="0.3">
      <c r="Y52" s="130" t="s">
        <v>199</v>
      </c>
      <c r="Z52" s="3">
        <v>-0.11</v>
      </c>
      <c r="AA52" s="3">
        <v>-0.03</v>
      </c>
      <c r="AB52" s="3">
        <v>0.03</v>
      </c>
      <c r="AC52" s="3">
        <v>0.02</v>
      </c>
      <c r="AD52" s="3">
        <v>0.03</v>
      </c>
      <c r="AE52" s="3">
        <v>0</v>
      </c>
      <c r="AF52" s="129">
        <v>-1734.42</v>
      </c>
      <c r="AG52" s="3">
        <v>-2.44</v>
      </c>
    </row>
    <row r="53" spans="25:33" ht="15.75" thickBot="1" x14ac:dyDescent="0.3">
      <c r="Y53" s="130" t="s">
        <v>200</v>
      </c>
      <c r="Z53" s="3">
        <v>-0.02</v>
      </c>
      <c r="AA53" s="3">
        <v>-0.01</v>
      </c>
      <c r="AB53" s="3">
        <v>-0.02</v>
      </c>
      <c r="AC53" s="3">
        <v>0</v>
      </c>
      <c r="AD53" s="3">
        <v>-0.02</v>
      </c>
      <c r="AE53" s="3">
        <v>-0.01</v>
      </c>
      <c r="AF53" s="129">
        <v>-15719.77</v>
      </c>
      <c r="AG53" s="3">
        <v>-22.09</v>
      </c>
    </row>
    <row r="54" spans="25:33" ht="27.75" thickBot="1" x14ac:dyDescent="0.3">
      <c r="Y54" s="128" t="s">
        <v>52</v>
      </c>
      <c r="Z54" s="3">
        <v>79.05</v>
      </c>
      <c r="AA54" s="3">
        <v>57.71</v>
      </c>
      <c r="AB54" s="3">
        <v>42.4</v>
      </c>
      <c r="AC54" s="3">
        <v>26.6</v>
      </c>
      <c r="AD54" s="3">
        <v>7.2</v>
      </c>
      <c r="AE54" s="3">
        <v>41.84</v>
      </c>
      <c r="AF54" s="129">
        <v>44764267.439999998</v>
      </c>
      <c r="AG54" s="129">
        <v>62895.9</v>
      </c>
    </row>
    <row r="55" spans="25:33" ht="15.75" thickBot="1" x14ac:dyDescent="0.3">
      <c r="Y55" s="130" t="s">
        <v>201</v>
      </c>
      <c r="Z55" s="3">
        <v>0.28000000000000003</v>
      </c>
      <c r="AA55" s="3">
        <v>0.25</v>
      </c>
      <c r="AB55" s="3">
        <v>0.14000000000000001</v>
      </c>
      <c r="AC55" s="3">
        <v>0.08</v>
      </c>
      <c r="AD55" s="3">
        <v>0.13</v>
      </c>
      <c r="AE55" s="3">
        <v>0.16</v>
      </c>
      <c r="AF55" s="129">
        <v>175023.14</v>
      </c>
      <c r="AG55" s="3">
        <v>245.92</v>
      </c>
    </row>
    <row r="56" spans="25:33" ht="15.75" thickBot="1" x14ac:dyDescent="0.3">
      <c r="Y56" s="130" t="s">
        <v>202</v>
      </c>
      <c r="Z56" s="3">
        <v>1.23</v>
      </c>
      <c r="AA56" s="3">
        <v>0.67</v>
      </c>
      <c r="AB56" s="3">
        <v>0.24</v>
      </c>
      <c r="AC56" s="3">
        <v>0.32</v>
      </c>
      <c r="AD56" s="3">
        <v>0.44</v>
      </c>
      <c r="AE56" s="3">
        <v>0.5</v>
      </c>
      <c r="AF56" s="129">
        <v>533649.80000000005</v>
      </c>
      <c r="AG56" s="3">
        <v>749.8</v>
      </c>
    </row>
    <row r="57" spans="25:33" ht="15.75" thickBot="1" x14ac:dyDescent="0.3">
      <c r="Y57" s="130" t="s">
        <v>203</v>
      </c>
      <c r="Z57" s="3">
        <v>0.02</v>
      </c>
      <c r="AA57" s="3">
        <v>0.02</v>
      </c>
      <c r="AB57" s="3">
        <v>0.05</v>
      </c>
      <c r="AC57" s="3">
        <v>0.02</v>
      </c>
      <c r="AD57" s="3">
        <v>0.01</v>
      </c>
      <c r="AE57" s="3">
        <v>0.03</v>
      </c>
      <c r="AF57" s="129">
        <v>31414.05</v>
      </c>
      <c r="AG57" s="3">
        <v>44.14</v>
      </c>
    </row>
    <row r="58" spans="25:33" ht="41.25" thickBot="1" x14ac:dyDescent="0.3">
      <c r="Y58" s="128" t="s">
        <v>204</v>
      </c>
      <c r="Z58" s="3">
        <v>1.52</v>
      </c>
      <c r="AA58" s="3">
        <v>0.93</v>
      </c>
      <c r="AB58" s="3">
        <v>0.43</v>
      </c>
      <c r="AC58" s="3">
        <v>0.42</v>
      </c>
      <c r="AD58" s="3">
        <v>0.57999999999999996</v>
      </c>
      <c r="AE58" s="3">
        <v>0.69</v>
      </c>
      <c r="AF58" s="129">
        <v>740086.99</v>
      </c>
      <c r="AG58" s="129">
        <v>1039.8599999999999</v>
      </c>
    </row>
    <row r="59" spans="25:33" ht="27.75" thickBot="1" x14ac:dyDescent="0.3">
      <c r="Y59" s="128" t="s">
        <v>205</v>
      </c>
      <c r="Z59" s="129">
        <v>15548314.050000001</v>
      </c>
      <c r="AA59" s="129">
        <v>16798859.890000001</v>
      </c>
      <c r="AB59" s="129">
        <v>39385595.880000003</v>
      </c>
      <c r="AC59" s="129">
        <v>18259344.829999998</v>
      </c>
      <c r="AD59" s="129">
        <v>16996569.280000001</v>
      </c>
      <c r="AE59" s="3">
        <v>100</v>
      </c>
      <c r="AF59" s="129">
        <v>106988683.92</v>
      </c>
      <c r="AG59" s="129">
        <v>150324.12</v>
      </c>
    </row>
    <row r="60" spans="25:33" ht="41.25" thickBot="1" x14ac:dyDescent="0.3">
      <c r="Y60" s="128" t="s">
        <v>206</v>
      </c>
      <c r="Z60" s="129">
        <v>21846.11</v>
      </c>
      <c r="AA60" s="129">
        <v>23603.19</v>
      </c>
      <c r="AB60" s="129">
        <v>55338.61</v>
      </c>
      <c r="AC60" s="129">
        <v>25655.24</v>
      </c>
      <c r="AD60" s="129">
        <v>23880.98</v>
      </c>
      <c r="AE60" s="3">
        <v>100</v>
      </c>
      <c r="AF60" s="129">
        <v>106988683.92</v>
      </c>
      <c r="AG60" s="129">
        <v>150324.12</v>
      </c>
    </row>
  </sheetData>
  <mergeCells count="57">
    <mergeCell ref="J1:K1"/>
    <mergeCell ref="A1:A2"/>
    <mergeCell ref="B1:C1"/>
    <mergeCell ref="D1:E1"/>
    <mergeCell ref="F1:G1"/>
    <mergeCell ref="H1:I1"/>
    <mergeCell ref="AS1:AT1"/>
    <mergeCell ref="AU1:AV1"/>
    <mergeCell ref="L1:M1"/>
    <mergeCell ref="N1:O1"/>
    <mergeCell ref="Y1:Y2"/>
    <mergeCell ref="AE1:AG1"/>
    <mergeCell ref="AO3:AO4"/>
    <mergeCell ref="AK1:AL1"/>
    <mergeCell ref="AM1:AN1"/>
    <mergeCell ref="AO1:AP1"/>
    <mergeCell ref="AQ1:AR1"/>
    <mergeCell ref="AJ3:AJ4"/>
    <mergeCell ref="AK3:AK4"/>
    <mergeCell ref="AL3:AL4"/>
    <mergeCell ref="AM3:AM4"/>
    <mergeCell ref="AN3:AN4"/>
    <mergeCell ref="AV3:AV4"/>
    <mergeCell ref="AP3:AP4"/>
    <mergeCell ref="AQ3:AQ4"/>
    <mergeCell ref="AR3:AR4"/>
    <mergeCell ref="AS3:AS4"/>
    <mergeCell ref="AT3:AT4"/>
    <mergeCell ref="AU3:AU4"/>
    <mergeCell ref="AU31:AU32"/>
    <mergeCell ref="AJ31:AJ32"/>
    <mergeCell ref="AK31:AK32"/>
    <mergeCell ref="AL31:AL32"/>
    <mergeCell ref="AM31:AM32"/>
    <mergeCell ref="AN31:AN32"/>
    <mergeCell ref="AO31:AO32"/>
    <mergeCell ref="AV27:AV28"/>
    <mergeCell ref="AV31:AV32"/>
    <mergeCell ref="AI1:AI2"/>
    <mergeCell ref="AJ1:AJ2"/>
    <mergeCell ref="AJ27:AJ28"/>
    <mergeCell ref="AK27:AK28"/>
    <mergeCell ref="AL27:AL28"/>
    <mergeCell ref="AM27:AM28"/>
    <mergeCell ref="AN27:AN28"/>
    <mergeCell ref="AO27:AO28"/>
    <mergeCell ref="AP27:AP28"/>
    <mergeCell ref="AP31:AP32"/>
    <mergeCell ref="AQ31:AQ32"/>
    <mergeCell ref="AR31:AR32"/>
    <mergeCell ref="AS31:AS32"/>
    <mergeCell ref="AT31:AT32"/>
    <mergeCell ref="AQ27:AQ28"/>
    <mergeCell ref="AR27:AR28"/>
    <mergeCell ref="AS27:AS28"/>
    <mergeCell ref="AT27:AT28"/>
    <mergeCell ref="AU27:AU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Cuadro 2 (columna AD-AC)</vt:lpstr>
      <vt:lpstr>Cuadro 3</vt:lpstr>
      <vt:lpstr>Cuadro 4</vt:lpstr>
      <vt:lpstr>Cuadro 7</vt:lpstr>
      <vt:lpstr>Cuadro 27 (CP)</vt:lpstr>
      <vt:lpstr>Cuadro 22 (D)</vt:lpstr>
      <vt:lpstr>Resumen</vt:lpstr>
      <vt:lpstr>tipo y dur</vt:lpstr>
      <vt:lpstr>Hoja3</vt:lpstr>
      <vt:lpstr>Hoja1</vt:lpstr>
      <vt:lpstr>moneda</vt:lpstr>
      <vt:lpstr>rating</vt:lpstr>
      <vt:lpstr>Moneda AFP E+</vt:lpstr>
      <vt:lpstr>Hoja2</vt:lpstr>
      <vt:lpstr>Hoja5</vt:lpstr>
      <vt:lpstr>Hoja7</vt:lpstr>
      <vt:lpstr>Hoja8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IM-TRUST</dc:creator>
  <cp:lastModifiedBy>Juan Pablo Araujo Guerra</cp:lastModifiedBy>
  <dcterms:created xsi:type="dcterms:W3CDTF">2011-07-12T15:11:18Z</dcterms:created>
  <dcterms:modified xsi:type="dcterms:W3CDTF">2016-11-08T16:51:43Z</dcterms:modified>
</cp:coreProperties>
</file>