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C:\Users\fsuarezb\Desktop\mesagi\Proyectos\portfolio_analytics\investment_report\"/>
    </mc:Choice>
  </mc:AlternateContent>
  <bookViews>
    <workbookView xWindow="20700" yWindow="105" windowWidth="17715" windowHeight="12345" tabRatio="690" activeTab="5" xr2:uid="{00000000-000D-0000-FFFF-FFFF00000000}"/>
  </bookViews>
  <sheets>
    <sheet name="Dataset" sheetId="1" r:id="rId1"/>
    <sheet name="Resumen" sheetId="10" r:id="rId2"/>
    <sheet name="retorno absoluto" sheetId="8" r:id="rId3"/>
    <sheet name="credito" sheetId="2" r:id="rId4"/>
    <sheet name="credito latam" sheetId="12" r:id="rId5"/>
    <sheet name="renta fija" sheetId="9" r:id="rId6"/>
    <sheet name="renta variable" sheetId="7" r:id="rId7"/>
    <sheet name="Historical" sheetId="11" r:id="rId8"/>
  </sheets>
  <definedNames>
    <definedName name="_xlnm._FilterDatabase" localSheetId="0" hidden="1">Dataset!$A$1:$AQ$590</definedName>
    <definedName name="A" localSheetId="5">'renta fija'!$A$1:$AF$110</definedName>
    <definedName name="Print_Area" localSheetId="5">'renta fija'!$A$1:$AF$110</definedName>
  </definedNames>
  <calcPr calcId="171027" calcMode="autoNoTable" calcOnSave="0"/>
  <fileRecoveryPr autoRecover="0"/>
</workbook>
</file>

<file path=xl/calcChain.xml><?xml version="1.0" encoding="utf-8"?>
<calcChain xmlns="http://schemas.openxmlformats.org/spreadsheetml/2006/main">
  <c r="C4" i="8" l="1"/>
  <c r="C4" i="2"/>
  <c r="C4" i="12"/>
  <c r="C4" i="9"/>
  <c r="B4" i="7"/>
  <c r="L39" i="7" l="1"/>
  <c r="M39" i="7"/>
  <c r="N39" i="7"/>
  <c r="O39" i="7"/>
  <c r="P39" i="7"/>
  <c r="L40" i="7"/>
  <c r="M40" i="7"/>
  <c r="N40" i="7"/>
  <c r="O40" i="7"/>
  <c r="P40" i="7"/>
  <c r="L41" i="7"/>
  <c r="M41" i="7"/>
  <c r="N41" i="7"/>
  <c r="O41" i="7"/>
  <c r="P41" i="7"/>
  <c r="L42" i="7"/>
  <c r="M42" i="7"/>
  <c r="N42" i="7"/>
  <c r="O42" i="7"/>
  <c r="P42" i="7"/>
  <c r="L43" i="7"/>
  <c r="M43" i="7"/>
  <c r="N43" i="7"/>
  <c r="O43" i="7"/>
  <c r="P43" i="7"/>
  <c r="L44" i="7"/>
  <c r="M44" i="7"/>
  <c r="N44" i="7"/>
  <c r="O44" i="7"/>
  <c r="P44" i="7"/>
  <c r="L45" i="7"/>
  <c r="M45" i="7"/>
  <c r="N45" i="7"/>
  <c r="O45" i="7"/>
  <c r="P45" i="7"/>
  <c r="L46" i="7"/>
  <c r="M46" i="7"/>
  <c r="N46" i="7"/>
  <c r="O46" i="7"/>
  <c r="P46" i="7"/>
  <c r="L47" i="7"/>
  <c r="M47" i="7"/>
  <c r="N47" i="7"/>
  <c r="O47" i="7"/>
  <c r="P47" i="7"/>
  <c r="L48" i="7"/>
  <c r="M48" i="7"/>
  <c r="N48" i="7"/>
  <c r="O48" i="7"/>
  <c r="P48" i="7"/>
  <c r="L49" i="7"/>
  <c r="M49" i="7"/>
  <c r="N49" i="7"/>
  <c r="O49" i="7"/>
  <c r="P49" i="7"/>
  <c r="L50" i="7"/>
  <c r="M50" i="7"/>
  <c r="N50" i="7"/>
  <c r="O50" i="7"/>
  <c r="P50" i="7"/>
  <c r="L51" i="7"/>
  <c r="M51" i="7"/>
  <c r="N51" i="7"/>
  <c r="O51" i="7"/>
  <c r="P51" i="7"/>
  <c r="L52" i="7"/>
  <c r="M52" i="7"/>
  <c r="N52" i="7"/>
  <c r="O52" i="7"/>
  <c r="P52" i="7"/>
  <c r="L53" i="7"/>
  <c r="M53" i="7"/>
  <c r="N53" i="7"/>
  <c r="O53" i="7"/>
  <c r="P53" i="7"/>
  <c r="D39" i="2"/>
  <c r="E39" i="2"/>
  <c r="F39" i="2"/>
  <c r="G39" i="2"/>
  <c r="D40" i="2"/>
  <c r="E40" i="2"/>
  <c r="F40" i="2"/>
  <c r="G40" i="2"/>
  <c r="D41" i="2"/>
  <c r="E41" i="2"/>
  <c r="F41" i="2"/>
  <c r="G41" i="2"/>
  <c r="D42" i="2"/>
  <c r="E42" i="2"/>
  <c r="F42" i="2"/>
  <c r="G42" i="2"/>
  <c r="D43" i="2"/>
  <c r="E43" i="2"/>
  <c r="F43" i="2"/>
  <c r="G43" i="2"/>
  <c r="D44" i="2"/>
  <c r="E44" i="2"/>
  <c r="F44" i="2"/>
  <c r="G44" i="2"/>
  <c r="G45" i="2" l="1"/>
  <c r="F45" i="2"/>
  <c r="E45" i="2"/>
  <c r="D45" i="2"/>
  <c r="B3" i="10" l="1"/>
  <c r="AC59" i="10" l="1"/>
  <c r="AD59" i="10"/>
  <c r="AB58" i="10" l="1"/>
  <c r="AA58" i="10"/>
  <c r="Z58" i="10"/>
  <c r="Y58" i="10"/>
  <c r="X58" i="10"/>
  <c r="W58" i="10"/>
  <c r="V58" i="10"/>
  <c r="U58" i="10"/>
  <c r="T58" i="10"/>
  <c r="S58" i="10"/>
  <c r="R58" i="10"/>
  <c r="Q58" i="10"/>
  <c r="P58" i="10"/>
  <c r="O58" i="10"/>
  <c r="N58" i="10"/>
  <c r="M58" i="10"/>
  <c r="L58" i="10"/>
  <c r="K58" i="10"/>
  <c r="J58" i="10"/>
  <c r="I58" i="10"/>
  <c r="H58" i="10"/>
  <c r="G58" i="10"/>
  <c r="F58" i="10"/>
  <c r="E58" i="10"/>
  <c r="E57" i="10"/>
  <c r="D24" i="12" l="1"/>
  <c r="D17" i="9" l="1"/>
  <c r="D38" i="9"/>
  <c r="I20" i="2" l="1"/>
  <c r="H20" i="2"/>
  <c r="G20" i="2"/>
  <c r="F20" i="2"/>
  <c r="E20" i="2"/>
  <c r="D20" i="2"/>
  <c r="D31" i="2"/>
  <c r="I33" i="2"/>
  <c r="H33" i="2"/>
  <c r="G33" i="2"/>
  <c r="F33" i="2"/>
  <c r="E33" i="2"/>
  <c r="D33" i="2"/>
  <c r="I34" i="8" l="1"/>
  <c r="H34" i="8"/>
  <c r="G34" i="8"/>
  <c r="F34" i="8"/>
  <c r="E34" i="8"/>
  <c r="D34" i="8"/>
  <c r="I33" i="8"/>
  <c r="H33" i="8"/>
  <c r="G33" i="8"/>
  <c r="F33" i="8"/>
  <c r="E33" i="8"/>
  <c r="D33" i="8"/>
  <c r="H44" i="2" l="1"/>
  <c r="I32" i="2"/>
  <c r="H32" i="2"/>
  <c r="G32" i="2"/>
  <c r="F32" i="2"/>
  <c r="E32" i="2"/>
  <c r="D32" i="2"/>
  <c r="D47" i="8" l="1"/>
  <c r="E47" i="8"/>
  <c r="F47" i="8"/>
  <c r="G47" i="8"/>
  <c r="D46" i="8"/>
  <c r="D32" i="8"/>
  <c r="AH50" i="2" l="1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49" i="2"/>
  <c r="J21" i="11" l="1"/>
  <c r="Z21" i="11" s="1"/>
  <c r="J20" i="11"/>
  <c r="Y20" i="11" s="1"/>
  <c r="J19" i="11"/>
  <c r="X19" i="11" s="1"/>
  <c r="J18" i="11"/>
  <c r="W18" i="11" s="1"/>
  <c r="J17" i="11"/>
  <c r="V17" i="11" s="1"/>
  <c r="J16" i="11"/>
  <c r="U16" i="11" s="1"/>
  <c r="J15" i="11"/>
  <c r="S15" i="11" s="1"/>
  <c r="J14" i="11"/>
  <c r="X14" i="11" s="1"/>
  <c r="J13" i="11"/>
  <c r="X13" i="11" s="1"/>
  <c r="J12" i="11"/>
  <c r="W12" i="11" s="1"/>
  <c r="J11" i="11"/>
  <c r="V11" i="11" s="1"/>
  <c r="J10" i="11"/>
  <c r="S10" i="11" s="1"/>
  <c r="J9" i="11"/>
  <c r="S9" i="11" s="1"/>
  <c r="J8" i="11"/>
  <c r="R8" i="11" s="1"/>
  <c r="J7" i="11"/>
  <c r="Z7" i="11" s="1"/>
  <c r="J6" i="11"/>
  <c r="X6" i="11" s="1"/>
  <c r="J5" i="11"/>
  <c r="X5" i="11" s="1"/>
  <c r="J4" i="11"/>
  <c r="W4" i="11" s="1"/>
  <c r="J3" i="11"/>
  <c r="U3" i="11" s="1"/>
  <c r="J2" i="11"/>
  <c r="S2" i="11" s="1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K57" i="10"/>
  <c r="J57" i="10"/>
  <c r="I57" i="10"/>
  <c r="H57" i="10"/>
  <c r="G57" i="10"/>
  <c r="F57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O56" i="10"/>
  <c r="N56" i="10"/>
  <c r="M56" i="10"/>
  <c r="L56" i="10"/>
  <c r="K56" i="10"/>
  <c r="J56" i="10"/>
  <c r="I56" i="10"/>
  <c r="H56" i="10"/>
  <c r="G56" i="10"/>
  <c r="F56" i="10"/>
  <c r="E56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E55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AB51" i="10"/>
  <c r="AA51" i="10"/>
  <c r="Z51" i="10"/>
  <c r="Y51" i="10"/>
  <c r="X51" i="10"/>
  <c r="X59" i="10" s="1"/>
  <c r="W51" i="10"/>
  <c r="W59" i="10" s="1"/>
  <c r="V51" i="10"/>
  <c r="V59" i="10" s="1"/>
  <c r="U51" i="10"/>
  <c r="U59" i="10" s="1"/>
  <c r="T51" i="10"/>
  <c r="S51" i="10"/>
  <c r="R51" i="10"/>
  <c r="Q51" i="10"/>
  <c r="P51" i="10"/>
  <c r="P59" i="10" s="1"/>
  <c r="O51" i="10"/>
  <c r="O59" i="10" s="1"/>
  <c r="N51" i="10"/>
  <c r="N59" i="10" s="1"/>
  <c r="M51" i="10"/>
  <c r="M59" i="10" s="1"/>
  <c r="L51" i="10"/>
  <c r="K51" i="10"/>
  <c r="J51" i="10"/>
  <c r="I51" i="10"/>
  <c r="H51" i="10"/>
  <c r="H59" i="10" s="1"/>
  <c r="G51" i="10"/>
  <c r="G59" i="10" s="1"/>
  <c r="F51" i="10"/>
  <c r="F59" i="10" s="1"/>
  <c r="E51" i="10"/>
  <c r="E59" i="10" s="1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F47" i="10"/>
  <c r="E47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E44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/>
  <c r="E37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E36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AB10" i="10"/>
  <c r="AA10" i="10"/>
  <c r="AA50" i="10" s="1"/>
  <c r="Z10" i="10"/>
  <c r="Z50" i="10" s="1"/>
  <c r="Y10" i="10"/>
  <c r="Y50" i="10" s="1"/>
  <c r="X10" i="10"/>
  <c r="X50" i="10" s="1"/>
  <c r="W10" i="10"/>
  <c r="W50" i="10" s="1"/>
  <c r="V10" i="10"/>
  <c r="V50" i="10" s="1"/>
  <c r="U10" i="10"/>
  <c r="T10" i="10"/>
  <c r="T50" i="10" s="1"/>
  <c r="S10" i="10"/>
  <c r="S50" i="10" s="1"/>
  <c r="R10" i="10"/>
  <c r="R50" i="10" s="1"/>
  <c r="Q10" i="10"/>
  <c r="Q50" i="10" s="1"/>
  <c r="P10" i="10"/>
  <c r="O10" i="10"/>
  <c r="O50" i="10" s="1"/>
  <c r="N10" i="10"/>
  <c r="N50" i="10" s="1"/>
  <c r="M10" i="10"/>
  <c r="M50" i="10" s="1"/>
  <c r="L10" i="10"/>
  <c r="L50" i="10" s="1"/>
  <c r="K10" i="10"/>
  <c r="K50" i="10" s="1"/>
  <c r="J10" i="10"/>
  <c r="J50" i="10" s="1"/>
  <c r="I10" i="10"/>
  <c r="I50" i="10" s="1"/>
  <c r="H10" i="10"/>
  <c r="H50" i="10" s="1"/>
  <c r="G10" i="10"/>
  <c r="G50" i="10" s="1"/>
  <c r="F10" i="10"/>
  <c r="F50" i="10" s="1"/>
  <c r="E10" i="10"/>
  <c r="E50" i="10" s="1"/>
  <c r="P58" i="7"/>
  <c r="O58" i="7"/>
  <c r="N58" i="7"/>
  <c r="M58" i="7"/>
  <c r="L58" i="7"/>
  <c r="P57" i="7"/>
  <c r="O57" i="7"/>
  <c r="N57" i="7"/>
  <c r="M57" i="7"/>
  <c r="L57" i="7"/>
  <c r="P56" i="7"/>
  <c r="O56" i="7"/>
  <c r="N56" i="7"/>
  <c r="M56" i="7"/>
  <c r="L56" i="7"/>
  <c r="P55" i="7"/>
  <c r="O55" i="7"/>
  <c r="N55" i="7"/>
  <c r="M55" i="7"/>
  <c r="L55" i="7"/>
  <c r="P54" i="7"/>
  <c r="O54" i="7"/>
  <c r="N54" i="7"/>
  <c r="M54" i="7"/>
  <c r="L54" i="7"/>
  <c r="P34" i="7"/>
  <c r="O34" i="7"/>
  <c r="N34" i="7"/>
  <c r="M34" i="7"/>
  <c r="L34" i="7"/>
  <c r="K34" i="7"/>
  <c r="H34" i="7"/>
  <c r="G34" i="7"/>
  <c r="F34" i="7"/>
  <c r="E34" i="7"/>
  <c r="D34" i="7"/>
  <c r="C34" i="7"/>
  <c r="P33" i="7"/>
  <c r="O33" i="7"/>
  <c r="N33" i="7"/>
  <c r="M33" i="7"/>
  <c r="L33" i="7"/>
  <c r="K33" i="7"/>
  <c r="H33" i="7"/>
  <c r="G33" i="7"/>
  <c r="F33" i="7"/>
  <c r="E33" i="7"/>
  <c r="D33" i="7"/>
  <c r="C33" i="7"/>
  <c r="P32" i="7"/>
  <c r="O32" i="7"/>
  <c r="N32" i="7"/>
  <c r="M32" i="7"/>
  <c r="L32" i="7"/>
  <c r="K32" i="7"/>
  <c r="H32" i="7"/>
  <c r="G32" i="7"/>
  <c r="F32" i="7"/>
  <c r="E32" i="7"/>
  <c r="D32" i="7"/>
  <c r="C32" i="7"/>
  <c r="P31" i="7"/>
  <c r="O31" i="7"/>
  <c r="N31" i="7"/>
  <c r="M31" i="7"/>
  <c r="L31" i="7"/>
  <c r="K31" i="7"/>
  <c r="H31" i="7"/>
  <c r="G31" i="7"/>
  <c r="F31" i="7"/>
  <c r="E31" i="7"/>
  <c r="D31" i="7"/>
  <c r="C31" i="7"/>
  <c r="P30" i="7"/>
  <c r="O30" i="7"/>
  <c r="N30" i="7"/>
  <c r="M30" i="7"/>
  <c r="L30" i="7"/>
  <c r="K30" i="7"/>
  <c r="H30" i="7"/>
  <c r="G30" i="7"/>
  <c r="F30" i="7"/>
  <c r="E30" i="7"/>
  <c r="D30" i="7"/>
  <c r="C30" i="7"/>
  <c r="P29" i="7"/>
  <c r="O29" i="7"/>
  <c r="N29" i="7"/>
  <c r="M29" i="7"/>
  <c r="L29" i="7"/>
  <c r="K29" i="7"/>
  <c r="H29" i="7"/>
  <c r="G29" i="7"/>
  <c r="F29" i="7"/>
  <c r="E29" i="7"/>
  <c r="D29" i="7"/>
  <c r="C29" i="7"/>
  <c r="P28" i="7"/>
  <c r="O28" i="7"/>
  <c r="N28" i="7"/>
  <c r="M28" i="7"/>
  <c r="L28" i="7"/>
  <c r="K28" i="7"/>
  <c r="H28" i="7"/>
  <c r="G28" i="7"/>
  <c r="F28" i="7"/>
  <c r="E28" i="7"/>
  <c r="D28" i="7"/>
  <c r="C28" i="7"/>
  <c r="P27" i="7"/>
  <c r="O27" i="7"/>
  <c r="N27" i="7"/>
  <c r="M27" i="7"/>
  <c r="L27" i="7"/>
  <c r="K27" i="7"/>
  <c r="H27" i="7"/>
  <c r="G27" i="7"/>
  <c r="F27" i="7"/>
  <c r="E27" i="7"/>
  <c r="D27" i="7"/>
  <c r="C27" i="7"/>
  <c r="P26" i="7"/>
  <c r="O26" i="7"/>
  <c r="N26" i="7"/>
  <c r="M26" i="7"/>
  <c r="L26" i="7"/>
  <c r="K26" i="7"/>
  <c r="H26" i="7"/>
  <c r="G26" i="7"/>
  <c r="F26" i="7"/>
  <c r="E26" i="7"/>
  <c r="D26" i="7"/>
  <c r="C26" i="7"/>
  <c r="P25" i="7"/>
  <c r="O25" i="7"/>
  <c r="N25" i="7"/>
  <c r="M25" i="7"/>
  <c r="L25" i="7"/>
  <c r="K25" i="7"/>
  <c r="H25" i="7"/>
  <c r="G25" i="7"/>
  <c r="F25" i="7"/>
  <c r="E25" i="7"/>
  <c r="D25" i="7"/>
  <c r="C25" i="7"/>
  <c r="P24" i="7"/>
  <c r="O24" i="7"/>
  <c r="N24" i="7"/>
  <c r="M24" i="7"/>
  <c r="L24" i="7"/>
  <c r="K24" i="7"/>
  <c r="H24" i="7"/>
  <c r="G24" i="7"/>
  <c r="F24" i="7"/>
  <c r="E24" i="7"/>
  <c r="D24" i="7"/>
  <c r="C24" i="7"/>
  <c r="P23" i="7"/>
  <c r="O23" i="7"/>
  <c r="N23" i="7"/>
  <c r="M23" i="7"/>
  <c r="L23" i="7"/>
  <c r="K23" i="7"/>
  <c r="H23" i="7"/>
  <c r="G23" i="7"/>
  <c r="F23" i="7"/>
  <c r="E23" i="7"/>
  <c r="D23" i="7"/>
  <c r="C23" i="7"/>
  <c r="P22" i="7"/>
  <c r="O22" i="7"/>
  <c r="N22" i="7"/>
  <c r="M22" i="7"/>
  <c r="L22" i="7"/>
  <c r="K22" i="7"/>
  <c r="H22" i="7"/>
  <c r="G22" i="7"/>
  <c r="F22" i="7"/>
  <c r="E22" i="7"/>
  <c r="D22" i="7"/>
  <c r="C22" i="7"/>
  <c r="P21" i="7"/>
  <c r="O21" i="7"/>
  <c r="N21" i="7"/>
  <c r="M21" i="7"/>
  <c r="L21" i="7"/>
  <c r="K21" i="7"/>
  <c r="H21" i="7"/>
  <c r="G21" i="7"/>
  <c r="F21" i="7"/>
  <c r="E21" i="7"/>
  <c r="D21" i="7"/>
  <c r="C21" i="7"/>
  <c r="P20" i="7"/>
  <c r="O20" i="7"/>
  <c r="N20" i="7"/>
  <c r="M20" i="7"/>
  <c r="L20" i="7"/>
  <c r="K20" i="7"/>
  <c r="H20" i="7"/>
  <c r="G20" i="7"/>
  <c r="F20" i="7"/>
  <c r="E20" i="7"/>
  <c r="D20" i="7"/>
  <c r="C20" i="7"/>
  <c r="AE44" i="9"/>
  <c r="AC44" i="9"/>
  <c r="AB44" i="9"/>
  <c r="AA44" i="9"/>
  <c r="Z44" i="9"/>
  <c r="Y44" i="9"/>
  <c r="X44" i="9"/>
  <c r="W44" i="9"/>
  <c r="V44" i="9"/>
  <c r="U44" i="9"/>
  <c r="T44" i="9"/>
  <c r="AE43" i="9"/>
  <c r="AC43" i="9"/>
  <c r="AB43" i="9"/>
  <c r="AA43" i="9"/>
  <c r="Z43" i="9"/>
  <c r="Y43" i="9"/>
  <c r="X43" i="9"/>
  <c r="W43" i="9"/>
  <c r="V43" i="9"/>
  <c r="U43" i="9"/>
  <c r="T43" i="9"/>
  <c r="AE42" i="9"/>
  <c r="AC42" i="9"/>
  <c r="AB42" i="9"/>
  <c r="AA42" i="9"/>
  <c r="Z42" i="9"/>
  <c r="Y42" i="9"/>
  <c r="X42" i="9"/>
  <c r="W42" i="9"/>
  <c r="V42" i="9"/>
  <c r="U42" i="9"/>
  <c r="T42" i="9"/>
  <c r="AE41" i="9"/>
  <c r="AC41" i="9"/>
  <c r="AB41" i="9"/>
  <c r="AA41" i="9"/>
  <c r="Z41" i="9"/>
  <c r="Y41" i="9"/>
  <c r="X41" i="9"/>
  <c r="W41" i="9"/>
  <c r="V41" i="9"/>
  <c r="U41" i="9"/>
  <c r="T41" i="9"/>
  <c r="P41" i="9"/>
  <c r="O41" i="9"/>
  <c r="N41" i="9"/>
  <c r="M41" i="9"/>
  <c r="L41" i="9"/>
  <c r="AE40" i="9"/>
  <c r="AC40" i="9"/>
  <c r="AB40" i="9"/>
  <c r="AA40" i="9"/>
  <c r="Z40" i="9"/>
  <c r="Y40" i="9"/>
  <c r="X40" i="9"/>
  <c r="W40" i="9"/>
  <c r="V40" i="9"/>
  <c r="U40" i="9"/>
  <c r="T40" i="9"/>
  <c r="P40" i="9"/>
  <c r="O40" i="9"/>
  <c r="N40" i="9"/>
  <c r="M40" i="9"/>
  <c r="L40" i="9"/>
  <c r="H40" i="9"/>
  <c r="G40" i="9"/>
  <c r="F40" i="9"/>
  <c r="E40" i="9"/>
  <c r="D40" i="9"/>
  <c r="AE39" i="9"/>
  <c r="AC39" i="9"/>
  <c r="AB39" i="9"/>
  <c r="AA39" i="9"/>
  <c r="Z39" i="9"/>
  <c r="Y39" i="9"/>
  <c r="X39" i="9"/>
  <c r="W39" i="9"/>
  <c r="V39" i="9"/>
  <c r="U39" i="9"/>
  <c r="T39" i="9"/>
  <c r="P39" i="9"/>
  <c r="O39" i="9"/>
  <c r="N39" i="9"/>
  <c r="M39" i="9"/>
  <c r="L39" i="9"/>
  <c r="H39" i="9"/>
  <c r="G39" i="9"/>
  <c r="F39" i="9"/>
  <c r="E39" i="9"/>
  <c r="D39" i="9"/>
  <c r="AE38" i="9"/>
  <c r="AC38" i="9"/>
  <c r="AB38" i="9"/>
  <c r="AA38" i="9"/>
  <c r="Z38" i="9"/>
  <c r="Y38" i="9"/>
  <c r="X38" i="9"/>
  <c r="W38" i="9"/>
  <c r="V38" i="9"/>
  <c r="U38" i="9"/>
  <c r="T38" i="9"/>
  <c r="P38" i="9"/>
  <c r="O38" i="9"/>
  <c r="N38" i="9"/>
  <c r="M38" i="9"/>
  <c r="L38" i="9"/>
  <c r="H38" i="9"/>
  <c r="G38" i="9"/>
  <c r="F38" i="9"/>
  <c r="E38" i="9"/>
  <c r="AE37" i="9"/>
  <c r="AC37" i="9"/>
  <c r="AB37" i="9"/>
  <c r="AA37" i="9"/>
  <c r="Z37" i="9"/>
  <c r="Y37" i="9"/>
  <c r="X37" i="9"/>
  <c r="W37" i="9"/>
  <c r="V37" i="9"/>
  <c r="U37" i="9"/>
  <c r="T37" i="9"/>
  <c r="P37" i="9"/>
  <c r="O37" i="9"/>
  <c r="N37" i="9"/>
  <c r="M37" i="9"/>
  <c r="L37" i="9"/>
  <c r="AE36" i="9"/>
  <c r="AC36" i="9"/>
  <c r="AB36" i="9"/>
  <c r="AA36" i="9"/>
  <c r="Z36" i="9"/>
  <c r="Y36" i="9"/>
  <c r="X36" i="9"/>
  <c r="W36" i="9"/>
  <c r="V36" i="9"/>
  <c r="U36" i="9"/>
  <c r="T36" i="9"/>
  <c r="P36" i="9"/>
  <c r="O36" i="9"/>
  <c r="N36" i="9"/>
  <c r="M36" i="9"/>
  <c r="L36" i="9"/>
  <c r="AE35" i="9"/>
  <c r="AC35" i="9"/>
  <c r="AB35" i="9"/>
  <c r="AA35" i="9"/>
  <c r="Z35" i="9"/>
  <c r="Y35" i="9"/>
  <c r="X35" i="9"/>
  <c r="W35" i="9"/>
  <c r="V35" i="9"/>
  <c r="U35" i="9"/>
  <c r="T35" i="9"/>
  <c r="P35" i="9"/>
  <c r="O35" i="9"/>
  <c r="N35" i="9"/>
  <c r="M35" i="9"/>
  <c r="L35" i="9"/>
  <c r="AE34" i="9"/>
  <c r="AC34" i="9"/>
  <c r="AB34" i="9"/>
  <c r="AA34" i="9"/>
  <c r="Z34" i="9"/>
  <c r="Y34" i="9"/>
  <c r="X34" i="9"/>
  <c r="W34" i="9"/>
  <c r="V34" i="9"/>
  <c r="U34" i="9"/>
  <c r="T34" i="9"/>
  <c r="P34" i="9"/>
  <c r="O34" i="9"/>
  <c r="N34" i="9"/>
  <c r="M34" i="9"/>
  <c r="L34" i="9"/>
  <c r="AE33" i="9"/>
  <c r="AC33" i="9"/>
  <c r="AB33" i="9"/>
  <c r="AA33" i="9"/>
  <c r="Z33" i="9"/>
  <c r="Y33" i="9"/>
  <c r="X33" i="9"/>
  <c r="W33" i="9"/>
  <c r="V33" i="9"/>
  <c r="U33" i="9"/>
  <c r="T33" i="9"/>
  <c r="P33" i="9"/>
  <c r="O33" i="9"/>
  <c r="N33" i="9"/>
  <c r="M33" i="9"/>
  <c r="L33" i="9"/>
  <c r="AE32" i="9"/>
  <c r="AC32" i="9"/>
  <c r="AB32" i="9"/>
  <c r="AA32" i="9"/>
  <c r="Z32" i="9"/>
  <c r="Y32" i="9"/>
  <c r="X32" i="9"/>
  <c r="W32" i="9"/>
  <c r="V32" i="9"/>
  <c r="U32" i="9"/>
  <c r="T32" i="9"/>
  <c r="P32" i="9"/>
  <c r="O32" i="9"/>
  <c r="N32" i="9"/>
  <c r="M32" i="9"/>
  <c r="L32" i="9"/>
  <c r="I32" i="9"/>
  <c r="H32" i="9"/>
  <c r="G32" i="9"/>
  <c r="F32" i="9"/>
  <c r="E32" i="9"/>
  <c r="D32" i="9"/>
  <c r="AE31" i="9"/>
  <c r="AC31" i="9"/>
  <c r="AB31" i="9"/>
  <c r="AA31" i="9"/>
  <c r="Z31" i="9"/>
  <c r="Y31" i="9"/>
  <c r="X31" i="9"/>
  <c r="W31" i="9"/>
  <c r="V31" i="9"/>
  <c r="U31" i="9"/>
  <c r="T31" i="9"/>
  <c r="I31" i="9"/>
  <c r="H31" i="9"/>
  <c r="G31" i="9"/>
  <c r="F31" i="9"/>
  <c r="E31" i="9"/>
  <c r="D31" i="9"/>
  <c r="AE30" i="9"/>
  <c r="AC30" i="9"/>
  <c r="AB30" i="9"/>
  <c r="AA30" i="9"/>
  <c r="Z30" i="9"/>
  <c r="Y30" i="9"/>
  <c r="X30" i="9"/>
  <c r="W30" i="9"/>
  <c r="V30" i="9"/>
  <c r="U30" i="9"/>
  <c r="T30" i="9"/>
  <c r="I30" i="9"/>
  <c r="H30" i="9"/>
  <c r="G30" i="9"/>
  <c r="F30" i="9"/>
  <c r="E30" i="9"/>
  <c r="D30" i="9"/>
  <c r="AE29" i="9"/>
  <c r="AC29" i="9"/>
  <c r="AB29" i="9"/>
  <c r="AA29" i="9"/>
  <c r="Z29" i="9"/>
  <c r="Y29" i="9"/>
  <c r="X29" i="9"/>
  <c r="W29" i="9"/>
  <c r="V29" i="9"/>
  <c r="U29" i="9"/>
  <c r="T29" i="9"/>
  <c r="I29" i="9"/>
  <c r="H29" i="9"/>
  <c r="G29" i="9"/>
  <c r="F29" i="9"/>
  <c r="E29" i="9"/>
  <c r="D29" i="9"/>
  <c r="AE28" i="9"/>
  <c r="AC28" i="9"/>
  <c r="AB28" i="9"/>
  <c r="AA28" i="9"/>
  <c r="Z28" i="9"/>
  <c r="Y28" i="9"/>
  <c r="X28" i="9"/>
  <c r="W28" i="9"/>
  <c r="V28" i="9"/>
  <c r="U28" i="9"/>
  <c r="T28" i="9"/>
  <c r="I28" i="9"/>
  <c r="H28" i="9"/>
  <c r="G28" i="9"/>
  <c r="F28" i="9"/>
  <c r="E28" i="9"/>
  <c r="D28" i="9"/>
  <c r="AE27" i="9"/>
  <c r="AC27" i="9"/>
  <c r="AB27" i="9"/>
  <c r="AA27" i="9"/>
  <c r="Z27" i="9"/>
  <c r="Y27" i="9"/>
  <c r="X27" i="9"/>
  <c r="W27" i="9"/>
  <c r="V27" i="9"/>
  <c r="U27" i="9"/>
  <c r="T27" i="9"/>
  <c r="I27" i="9"/>
  <c r="H27" i="9"/>
  <c r="G27" i="9"/>
  <c r="F27" i="9"/>
  <c r="E27" i="9"/>
  <c r="D27" i="9"/>
  <c r="AE26" i="9"/>
  <c r="AC26" i="9"/>
  <c r="AB26" i="9"/>
  <c r="AA26" i="9"/>
  <c r="Z26" i="9"/>
  <c r="Y26" i="9"/>
  <c r="X26" i="9"/>
  <c r="W26" i="9"/>
  <c r="V26" i="9"/>
  <c r="U26" i="9"/>
  <c r="T26" i="9"/>
  <c r="P26" i="9"/>
  <c r="O26" i="9"/>
  <c r="N26" i="9"/>
  <c r="M26" i="9"/>
  <c r="L26" i="9"/>
  <c r="I26" i="9"/>
  <c r="H26" i="9"/>
  <c r="G26" i="9"/>
  <c r="F26" i="9"/>
  <c r="E26" i="9"/>
  <c r="D26" i="9"/>
  <c r="AE25" i="9"/>
  <c r="AC25" i="9"/>
  <c r="AB25" i="9"/>
  <c r="AA25" i="9"/>
  <c r="Z25" i="9"/>
  <c r="Y25" i="9"/>
  <c r="X25" i="9"/>
  <c r="W25" i="9"/>
  <c r="V25" i="9"/>
  <c r="U25" i="9"/>
  <c r="T25" i="9"/>
  <c r="P25" i="9"/>
  <c r="O25" i="9"/>
  <c r="N25" i="9"/>
  <c r="M25" i="9"/>
  <c r="L25" i="9"/>
  <c r="I25" i="9"/>
  <c r="H25" i="9"/>
  <c r="G25" i="9"/>
  <c r="F25" i="9"/>
  <c r="E25" i="9"/>
  <c r="D25" i="9"/>
  <c r="AE24" i="9"/>
  <c r="AC24" i="9"/>
  <c r="AB24" i="9"/>
  <c r="AA24" i="9"/>
  <c r="Z24" i="9"/>
  <c r="Y24" i="9"/>
  <c r="X24" i="9"/>
  <c r="W24" i="9"/>
  <c r="V24" i="9"/>
  <c r="U24" i="9"/>
  <c r="T24" i="9"/>
  <c r="P24" i="9"/>
  <c r="O24" i="9"/>
  <c r="N24" i="9"/>
  <c r="M24" i="9"/>
  <c r="L24" i="9"/>
  <c r="I24" i="9"/>
  <c r="H24" i="9"/>
  <c r="G24" i="9"/>
  <c r="F24" i="9"/>
  <c r="E24" i="9"/>
  <c r="D24" i="9"/>
  <c r="AE23" i="9"/>
  <c r="AC23" i="9"/>
  <c r="AB23" i="9"/>
  <c r="AA23" i="9"/>
  <c r="Z23" i="9"/>
  <c r="Y23" i="9"/>
  <c r="X23" i="9"/>
  <c r="W23" i="9"/>
  <c r="V23" i="9"/>
  <c r="U23" i="9"/>
  <c r="T23" i="9"/>
  <c r="P23" i="9"/>
  <c r="O23" i="9"/>
  <c r="N23" i="9"/>
  <c r="M23" i="9"/>
  <c r="L23" i="9"/>
  <c r="I23" i="9"/>
  <c r="H23" i="9"/>
  <c r="G23" i="9"/>
  <c r="F23" i="9"/>
  <c r="E23" i="9"/>
  <c r="D23" i="9"/>
  <c r="AE22" i="9"/>
  <c r="AC22" i="9"/>
  <c r="AB22" i="9"/>
  <c r="AA22" i="9"/>
  <c r="Z22" i="9"/>
  <c r="Y22" i="9"/>
  <c r="X22" i="9"/>
  <c r="W22" i="9"/>
  <c r="V22" i="9"/>
  <c r="U22" i="9"/>
  <c r="T22" i="9"/>
  <c r="P22" i="9"/>
  <c r="O22" i="9"/>
  <c r="N22" i="9"/>
  <c r="M22" i="9"/>
  <c r="L22" i="9"/>
  <c r="I22" i="9"/>
  <c r="H22" i="9"/>
  <c r="G22" i="9"/>
  <c r="F22" i="9"/>
  <c r="E22" i="9"/>
  <c r="D22" i="9"/>
  <c r="AE21" i="9"/>
  <c r="AC21" i="9"/>
  <c r="AB21" i="9"/>
  <c r="AA21" i="9"/>
  <c r="Z21" i="9"/>
  <c r="Y21" i="9"/>
  <c r="X21" i="9"/>
  <c r="W21" i="9"/>
  <c r="V21" i="9"/>
  <c r="U21" i="9"/>
  <c r="T21" i="9"/>
  <c r="P21" i="9"/>
  <c r="O21" i="9"/>
  <c r="N21" i="9"/>
  <c r="M21" i="9"/>
  <c r="L21" i="9"/>
  <c r="I21" i="9"/>
  <c r="H21" i="9"/>
  <c r="G21" i="9"/>
  <c r="F21" i="9"/>
  <c r="E21" i="9"/>
  <c r="D21" i="9"/>
  <c r="AE20" i="9"/>
  <c r="AC20" i="9"/>
  <c r="AB20" i="9"/>
  <c r="AA20" i="9"/>
  <c r="Z20" i="9"/>
  <c r="Y20" i="9"/>
  <c r="X20" i="9"/>
  <c r="W20" i="9"/>
  <c r="V20" i="9"/>
  <c r="U20" i="9"/>
  <c r="T20" i="9"/>
  <c r="P20" i="9"/>
  <c r="O20" i="9"/>
  <c r="N20" i="9"/>
  <c r="M20" i="9"/>
  <c r="L20" i="9"/>
  <c r="I20" i="9"/>
  <c r="H20" i="9"/>
  <c r="G20" i="9"/>
  <c r="F20" i="9"/>
  <c r="E20" i="9"/>
  <c r="D20" i="9"/>
  <c r="AE19" i="9"/>
  <c r="AC19" i="9"/>
  <c r="AB19" i="9"/>
  <c r="AA19" i="9"/>
  <c r="Z19" i="9"/>
  <c r="Y19" i="9"/>
  <c r="X19" i="9"/>
  <c r="W19" i="9"/>
  <c r="V19" i="9"/>
  <c r="U19" i="9"/>
  <c r="T19" i="9"/>
  <c r="P19" i="9"/>
  <c r="O19" i="9"/>
  <c r="N19" i="9"/>
  <c r="M19" i="9"/>
  <c r="L19" i="9"/>
  <c r="I19" i="9"/>
  <c r="H19" i="9"/>
  <c r="G19" i="9"/>
  <c r="F19" i="9"/>
  <c r="E19" i="9"/>
  <c r="D19" i="9"/>
  <c r="AE18" i="9"/>
  <c r="AC18" i="9"/>
  <c r="AB18" i="9"/>
  <c r="AA18" i="9"/>
  <c r="Z18" i="9"/>
  <c r="Y18" i="9"/>
  <c r="X18" i="9"/>
  <c r="W18" i="9"/>
  <c r="V18" i="9"/>
  <c r="U18" i="9"/>
  <c r="T18" i="9"/>
  <c r="P18" i="9"/>
  <c r="O18" i="9"/>
  <c r="N18" i="9"/>
  <c r="M18" i="9"/>
  <c r="L18" i="9"/>
  <c r="I18" i="9"/>
  <c r="H18" i="9"/>
  <c r="G18" i="9"/>
  <c r="F18" i="9"/>
  <c r="E18" i="9"/>
  <c r="D18" i="9"/>
  <c r="AE17" i="9"/>
  <c r="AC17" i="9"/>
  <c r="AB17" i="9"/>
  <c r="AA17" i="9"/>
  <c r="Z17" i="9"/>
  <c r="Y17" i="9"/>
  <c r="X17" i="9"/>
  <c r="W17" i="9"/>
  <c r="V17" i="9"/>
  <c r="U17" i="9"/>
  <c r="T17" i="9"/>
  <c r="P17" i="9"/>
  <c r="O17" i="9"/>
  <c r="N17" i="9"/>
  <c r="M17" i="9"/>
  <c r="L17" i="9"/>
  <c r="I17" i="9"/>
  <c r="H17" i="9"/>
  <c r="G17" i="9"/>
  <c r="F17" i="9"/>
  <c r="E17" i="9"/>
  <c r="S102" i="12"/>
  <c r="R102" i="12"/>
  <c r="Q102" i="12"/>
  <c r="P102" i="12"/>
  <c r="O102" i="12"/>
  <c r="N102" i="12"/>
  <c r="M102" i="12"/>
  <c r="K102" i="12"/>
  <c r="J102" i="12"/>
  <c r="I102" i="12"/>
  <c r="H102" i="12"/>
  <c r="G102" i="12"/>
  <c r="F102" i="12"/>
  <c r="E102" i="12"/>
  <c r="S101" i="12"/>
  <c r="R101" i="12"/>
  <c r="Q101" i="12"/>
  <c r="P101" i="12"/>
  <c r="O101" i="12"/>
  <c r="N101" i="12"/>
  <c r="M101" i="12"/>
  <c r="K101" i="12"/>
  <c r="J101" i="12"/>
  <c r="I101" i="12"/>
  <c r="H101" i="12"/>
  <c r="G101" i="12"/>
  <c r="F101" i="12"/>
  <c r="E101" i="12"/>
  <c r="S100" i="12"/>
  <c r="R100" i="12"/>
  <c r="Q100" i="12"/>
  <c r="P100" i="12"/>
  <c r="O100" i="12"/>
  <c r="N100" i="12"/>
  <c r="M100" i="12"/>
  <c r="K100" i="12"/>
  <c r="J100" i="12"/>
  <c r="I100" i="12"/>
  <c r="H100" i="12"/>
  <c r="G100" i="12"/>
  <c r="F100" i="12"/>
  <c r="E100" i="12"/>
  <c r="S99" i="12"/>
  <c r="R99" i="12"/>
  <c r="Q99" i="12"/>
  <c r="P99" i="12"/>
  <c r="O99" i="12"/>
  <c r="N99" i="12"/>
  <c r="M99" i="12"/>
  <c r="K99" i="12"/>
  <c r="J99" i="12"/>
  <c r="I99" i="12"/>
  <c r="H99" i="12"/>
  <c r="G99" i="12"/>
  <c r="F99" i="12"/>
  <c r="E99" i="12"/>
  <c r="S98" i="12"/>
  <c r="R98" i="12"/>
  <c r="Q98" i="12"/>
  <c r="P98" i="12"/>
  <c r="O98" i="12"/>
  <c r="N98" i="12"/>
  <c r="M98" i="12"/>
  <c r="K98" i="12"/>
  <c r="J98" i="12"/>
  <c r="I98" i="12"/>
  <c r="H98" i="12"/>
  <c r="G98" i="12"/>
  <c r="F98" i="12"/>
  <c r="E98" i="12"/>
  <c r="S97" i="12"/>
  <c r="R97" i="12"/>
  <c r="Q97" i="12"/>
  <c r="P97" i="12"/>
  <c r="O97" i="12"/>
  <c r="N97" i="12"/>
  <c r="M97" i="12"/>
  <c r="K97" i="12"/>
  <c r="J97" i="12"/>
  <c r="I97" i="12"/>
  <c r="H97" i="12"/>
  <c r="G97" i="12"/>
  <c r="F97" i="12"/>
  <c r="E97" i="12"/>
  <c r="S96" i="12"/>
  <c r="R96" i="12"/>
  <c r="Q96" i="12"/>
  <c r="P96" i="12"/>
  <c r="O96" i="12"/>
  <c r="N96" i="12"/>
  <c r="M96" i="12"/>
  <c r="K96" i="12"/>
  <c r="J96" i="12"/>
  <c r="I96" i="12"/>
  <c r="H96" i="12"/>
  <c r="G96" i="12"/>
  <c r="F96" i="12"/>
  <c r="E96" i="12"/>
  <c r="S95" i="12"/>
  <c r="R95" i="12"/>
  <c r="Q95" i="12"/>
  <c r="P95" i="12"/>
  <c r="O95" i="12"/>
  <c r="N95" i="12"/>
  <c r="M95" i="12"/>
  <c r="K95" i="12"/>
  <c r="J95" i="12"/>
  <c r="I95" i="12"/>
  <c r="H95" i="12"/>
  <c r="G95" i="12"/>
  <c r="F95" i="12"/>
  <c r="E95" i="12"/>
  <c r="S94" i="12"/>
  <c r="R94" i="12"/>
  <c r="Q94" i="12"/>
  <c r="P94" i="12"/>
  <c r="O94" i="12"/>
  <c r="N94" i="12"/>
  <c r="M94" i="12"/>
  <c r="K94" i="12"/>
  <c r="J94" i="12"/>
  <c r="I94" i="12"/>
  <c r="H94" i="12"/>
  <c r="G94" i="12"/>
  <c r="F94" i="12"/>
  <c r="E94" i="12"/>
  <c r="S93" i="12"/>
  <c r="R93" i="12"/>
  <c r="Q93" i="12"/>
  <c r="P93" i="12"/>
  <c r="O93" i="12"/>
  <c r="N93" i="12"/>
  <c r="M93" i="12"/>
  <c r="K93" i="12"/>
  <c r="J93" i="12"/>
  <c r="I93" i="12"/>
  <c r="H93" i="12"/>
  <c r="G93" i="12"/>
  <c r="F93" i="12"/>
  <c r="E93" i="12"/>
  <c r="S92" i="12"/>
  <c r="R92" i="12"/>
  <c r="Q92" i="12"/>
  <c r="P92" i="12"/>
  <c r="O92" i="12"/>
  <c r="N92" i="12"/>
  <c r="M92" i="12"/>
  <c r="K92" i="12"/>
  <c r="J92" i="12"/>
  <c r="I92" i="12"/>
  <c r="H92" i="12"/>
  <c r="G92" i="12"/>
  <c r="F92" i="12"/>
  <c r="E92" i="12"/>
  <c r="S91" i="12"/>
  <c r="R91" i="12"/>
  <c r="Q91" i="12"/>
  <c r="P91" i="12"/>
  <c r="O91" i="12"/>
  <c r="N91" i="12"/>
  <c r="M91" i="12"/>
  <c r="K91" i="12"/>
  <c r="J91" i="12"/>
  <c r="I91" i="12"/>
  <c r="H91" i="12"/>
  <c r="G91" i="12"/>
  <c r="F91" i="12"/>
  <c r="E91" i="12"/>
  <c r="S90" i="12"/>
  <c r="R90" i="12"/>
  <c r="Q90" i="12"/>
  <c r="P90" i="12"/>
  <c r="O90" i="12"/>
  <c r="N90" i="12"/>
  <c r="M90" i="12"/>
  <c r="K90" i="12"/>
  <c r="J90" i="12"/>
  <c r="I90" i="12"/>
  <c r="H90" i="12"/>
  <c r="G90" i="12"/>
  <c r="F90" i="12"/>
  <c r="E90" i="12"/>
  <c r="S89" i="12"/>
  <c r="R89" i="12"/>
  <c r="Q89" i="12"/>
  <c r="P89" i="12"/>
  <c r="O89" i="12"/>
  <c r="N89" i="12"/>
  <c r="M89" i="12"/>
  <c r="K89" i="12"/>
  <c r="J89" i="12"/>
  <c r="I89" i="12"/>
  <c r="H89" i="12"/>
  <c r="G89" i="12"/>
  <c r="F89" i="12"/>
  <c r="E89" i="12"/>
  <c r="S88" i="12"/>
  <c r="R88" i="12"/>
  <c r="Q88" i="12"/>
  <c r="P88" i="12"/>
  <c r="O88" i="12"/>
  <c r="N88" i="12"/>
  <c r="M88" i="12"/>
  <c r="K88" i="12"/>
  <c r="J88" i="12"/>
  <c r="I88" i="12"/>
  <c r="H88" i="12"/>
  <c r="G88" i="12"/>
  <c r="F88" i="12"/>
  <c r="E88" i="12"/>
  <c r="S87" i="12"/>
  <c r="R87" i="12"/>
  <c r="Q87" i="12"/>
  <c r="P87" i="12"/>
  <c r="O87" i="12"/>
  <c r="N87" i="12"/>
  <c r="M87" i="12"/>
  <c r="K87" i="12"/>
  <c r="J87" i="12"/>
  <c r="I87" i="12"/>
  <c r="H87" i="12"/>
  <c r="G87" i="12"/>
  <c r="F87" i="12"/>
  <c r="E87" i="12"/>
  <c r="AE81" i="12"/>
  <c r="AD81" i="12"/>
  <c r="AC81" i="12"/>
  <c r="AB81" i="12"/>
  <c r="AA81" i="12"/>
  <c r="Z81" i="12"/>
  <c r="Y81" i="12"/>
  <c r="X81" i="12"/>
  <c r="W81" i="12"/>
  <c r="V81" i="12"/>
  <c r="U81" i="12"/>
  <c r="T81" i="12"/>
  <c r="S81" i="12"/>
  <c r="Q81" i="12"/>
  <c r="P81" i="12"/>
  <c r="O81" i="12"/>
  <c r="N81" i="12"/>
  <c r="M81" i="12"/>
  <c r="L81" i="12"/>
  <c r="K81" i="12"/>
  <c r="J81" i="12"/>
  <c r="I81" i="12"/>
  <c r="H81" i="12"/>
  <c r="G81" i="12"/>
  <c r="F81" i="12"/>
  <c r="E81" i="12"/>
  <c r="AE80" i="12"/>
  <c r="AD80" i="12"/>
  <c r="AC80" i="12"/>
  <c r="AB80" i="12"/>
  <c r="AA80" i="12"/>
  <c r="Z80" i="12"/>
  <c r="Y80" i="12"/>
  <c r="X80" i="12"/>
  <c r="W80" i="12"/>
  <c r="V80" i="12"/>
  <c r="U80" i="12"/>
  <c r="T80" i="12"/>
  <c r="S80" i="12"/>
  <c r="Q80" i="12"/>
  <c r="P80" i="12"/>
  <c r="O80" i="12"/>
  <c r="N80" i="12"/>
  <c r="M80" i="12"/>
  <c r="L80" i="12"/>
  <c r="K80" i="12"/>
  <c r="J80" i="12"/>
  <c r="I80" i="12"/>
  <c r="H80" i="12"/>
  <c r="G80" i="12"/>
  <c r="F80" i="12"/>
  <c r="E80" i="12"/>
  <c r="AE79" i="12"/>
  <c r="AD79" i="12"/>
  <c r="AC79" i="12"/>
  <c r="AB79" i="12"/>
  <c r="AA79" i="12"/>
  <c r="Z79" i="12"/>
  <c r="Y79" i="12"/>
  <c r="X79" i="12"/>
  <c r="W79" i="12"/>
  <c r="V79" i="12"/>
  <c r="U79" i="12"/>
  <c r="T79" i="12"/>
  <c r="S79" i="12"/>
  <c r="Q79" i="12"/>
  <c r="P79" i="12"/>
  <c r="O79" i="12"/>
  <c r="N79" i="12"/>
  <c r="M79" i="12"/>
  <c r="L79" i="12"/>
  <c r="K79" i="12"/>
  <c r="J79" i="12"/>
  <c r="I79" i="12"/>
  <c r="H79" i="12"/>
  <c r="G79" i="12"/>
  <c r="F79" i="12"/>
  <c r="E79" i="12"/>
  <c r="AE78" i="12"/>
  <c r="AD78" i="12"/>
  <c r="AC78" i="12"/>
  <c r="AB78" i="12"/>
  <c r="AA78" i="12"/>
  <c r="Z78" i="12"/>
  <c r="Y78" i="12"/>
  <c r="X78" i="12"/>
  <c r="W78" i="12"/>
  <c r="V78" i="12"/>
  <c r="U78" i="12"/>
  <c r="T78" i="12"/>
  <c r="S78" i="12"/>
  <c r="Q78" i="12"/>
  <c r="P78" i="12"/>
  <c r="O78" i="12"/>
  <c r="N78" i="12"/>
  <c r="M78" i="12"/>
  <c r="L78" i="12"/>
  <c r="K78" i="12"/>
  <c r="J78" i="12"/>
  <c r="I78" i="12"/>
  <c r="H78" i="12"/>
  <c r="G78" i="12"/>
  <c r="F78" i="12"/>
  <c r="E78" i="12"/>
  <c r="AE77" i="12"/>
  <c r="AD77" i="12"/>
  <c r="AC77" i="12"/>
  <c r="AB77" i="12"/>
  <c r="AA77" i="12"/>
  <c r="Z77" i="12"/>
  <c r="Y77" i="12"/>
  <c r="X77" i="12"/>
  <c r="W77" i="12"/>
  <c r="V77" i="12"/>
  <c r="U77" i="12"/>
  <c r="T77" i="12"/>
  <c r="S77" i="12"/>
  <c r="Q77" i="12"/>
  <c r="P77" i="12"/>
  <c r="O77" i="12"/>
  <c r="N77" i="12"/>
  <c r="M77" i="12"/>
  <c r="L77" i="12"/>
  <c r="K77" i="12"/>
  <c r="J77" i="12"/>
  <c r="I77" i="12"/>
  <c r="H77" i="12"/>
  <c r="G77" i="12"/>
  <c r="F77" i="12"/>
  <c r="E77" i="12"/>
  <c r="AE76" i="12"/>
  <c r="AD76" i="12"/>
  <c r="AC76" i="12"/>
  <c r="AB76" i="12"/>
  <c r="AA76" i="12"/>
  <c r="Z76" i="12"/>
  <c r="Y76" i="12"/>
  <c r="X76" i="12"/>
  <c r="W76" i="12"/>
  <c r="V76" i="12"/>
  <c r="U76" i="12"/>
  <c r="T76" i="12"/>
  <c r="S76" i="12"/>
  <c r="Q76" i="12"/>
  <c r="P76" i="12"/>
  <c r="O76" i="12"/>
  <c r="N76" i="12"/>
  <c r="M76" i="12"/>
  <c r="L76" i="12"/>
  <c r="K76" i="12"/>
  <c r="J76" i="12"/>
  <c r="I76" i="12"/>
  <c r="H76" i="12"/>
  <c r="G76" i="12"/>
  <c r="F76" i="12"/>
  <c r="E76" i="12"/>
  <c r="AE75" i="12"/>
  <c r="AD75" i="12"/>
  <c r="AC75" i="12"/>
  <c r="AB75" i="12"/>
  <c r="AA75" i="12"/>
  <c r="Z75" i="12"/>
  <c r="Y75" i="12"/>
  <c r="X75" i="12"/>
  <c r="W75" i="12"/>
  <c r="V75" i="12"/>
  <c r="U75" i="12"/>
  <c r="T75" i="12"/>
  <c r="S75" i="12"/>
  <c r="Q75" i="12"/>
  <c r="P75" i="12"/>
  <c r="O75" i="12"/>
  <c r="N75" i="12"/>
  <c r="M75" i="12"/>
  <c r="L75" i="12"/>
  <c r="K75" i="12"/>
  <c r="J75" i="12"/>
  <c r="I75" i="12"/>
  <c r="H75" i="12"/>
  <c r="G75" i="12"/>
  <c r="F75" i="12"/>
  <c r="E75" i="12"/>
  <c r="AE74" i="12"/>
  <c r="AD74" i="12"/>
  <c r="AC74" i="12"/>
  <c r="AB74" i="12"/>
  <c r="AA74" i="12"/>
  <c r="Z74" i="12"/>
  <c r="Y74" i="12"/>
  <c r="X74" i="12"/>
  <c r="W74" i="12"/>
  <c r="V74" i="12"/>
  <c r="U74" i="12"/>
  <c r="T74" i="12"/>
  <c r="S74" i="12"/>
  <c r="Q74" i="12"/>
  <c r="P74" i="12"/>
  <c r="O74" i="12"/>
  <c r="N74" i="12"/>
  <c r="M74" i="12"/>
  <c r="L74" i="12"/>
  <c r="K74" i="12"/>
  <c r="J74" i="12"/>
  <c r="I74" i="12"/>
  <c r="H74" i="12"/>
  <c r="G74" i="12"/>
  <c r="F74" i="12"/>
  <c r="E74" i="12"/>
  <c r="AE73" i="12"/>
  <c r="AD73" i="12"/>
  <c r="AC73" i="12"/>
  <c r="AB73" i="12"/>
  <c r="AA73" i="12"/>
  <c r="Z73" i="12"/>
  <c r="Y73" i="12"/>
  <c r="X73" i="12"/>
  <c r="W73" i="12"/>
  <c r="V73" i="12"/>
  <c r="U73" i="12"/>
  <c r="T73" i="12"/>
  <c r="S73" i="12"/>
  <c r="Q73" i="12"/>
  <c r="P73" i="12"/>
  <c r="O73" i="12"/>
  <c r="N73" i="12"/>
  <c r="M73" i="12"/>
  <c r="L73" i="12"/>
  <c r="K73" i="12"/>
  <c r="J73" i="12"/>
  <c r="I73" i="12"/>
  <c r="H73" i="12"/>
  <c r="G73" i="12"/>
  <c r="F73" i="12"/>
  <c r="E73" i="12"/>
  <c r="AE72" i="12"/>
  <c r="AD72" i="12"/>
  <c r="AC72" i="12"/>
  <c r="AB72" i="12"/>
  <c r="AA72" i="12"/>
  <c r="Z72" i="12"/>
  <c r="Y72" i="12"/>
  <c r="X72" i="12"/>
  <c r="W72" i="12"/>
  <c r="V72" i="12"/>
  <c r="U72" i="12"/>
  <c r="T72" i="12"/>
  <c r="S72" i="12"/>
  <c r="Q72" i="12"/>
  <c r="P72" i="12"/>
  <c r="O72" i="12"/>
  <c r="N72" i="12"/>
  <c r="M72" i="12"/>
  <c r="L72" i="12"/>
  <c r="K72" i="12"/>
  <c r="J72" i="12"/>
  <c r="I72" i="12"/>
  <c r="H72" i="12"/>
  <c r="G72" i="12"/>
  <c r="F72" i="12"/>
  <c r="E72" i="12"/>
  <c r="AE71" i="12"/>
  <c r="AD71" i="12"/>
  <c r="AC71" i="12"/>
  <c r="AB71" i="12"/>
  <c r="AA71" i="12"/>
  <c r="Z71" i="12"/>
  <c r="Y71" i="12"/>
  <c r="X71" i="12"/>
  <c r="W71" i="12"/>
  <c r="V71" i="12"/>
  <c r="U71" i="12"/>
  <c r="T71" i="12"/>
  <c r="S71" i="12"/>
  <c r="Q71" i="12"/>
  <c r="P71" i="12"/>
  <c r="O71" i="12"/>
  <c r="N71" i="12"/>
  <c r="M71" i="12"/>
  <c r="L71" i="12"/>
  <c r="K71" i="12"/>
  <c r="J71" i="12"/>
  <c r="I71" i="12"/>
  <c r="H71" i="12"/>
  <c r="G71" i="12"/>
  <c r="F71" i="12"/>
  <c r="E71" i="12"/>
  <c r="AE70" i="12"/>
  <c r="AD70" i="12"/>
  <c r="AC70" i="12"/>
  <c r="AB70" i="12"/>
  <c r="AA70" i="12"/>
  <c r="Z70" i="12"/>
  <c r="Y70" i="12"/>
  <c r="X70" i="12"/>
  <c r="W70" i="12"/>
  <c r="V70" i="12"/>
  <c r="U70" i="12"/>
  <c r="T70" i="12"/>
  <c r="S70" i="12"/>
  <c r="Q70" i="12"/>
  <c r="P70" i="12"/>
  <c r="O70" i="12"/>
  <c r="N70" i="12"/>
  <c r="M70" i="12"/>
  <c r="L70" i="12"/>
  <c r="K70" i="12"/>
  <c r="J70" i="12"/>
  <c r="I70" i="12"/>
  <c r="H70" i="12"/>
  <c r="G70" i="12"/>
  <c r="F70" i="12"/>
  <c r="E70" i="12"/>
  <c r="AE69" i="12"/>
  <c r="AD69" i="12"/>
  <c r="AC69" i="12"/>
  <c r="AB69" i="12"/>
  <c r="AA69" i="12"/>
  <c r="Z69" i="12"/>
  <c r="Y69" i="12"/>
  <c r="X69" i="12"/>
  <c r="W69" i="12"/>
  <c r="V69" i="12"/>
  <c r="U69" i="12"/>
  <c r="T69" i="12"/>
  <c r="S69" i="12"/>
  <c r="Q69" i="12"/>
  <c r="P69" i="12"/>
  <c r="O69" i="12"/>
  <c r="N69" i="12"/>
  <c r="M69" i="12"/>
  <c r="L69" i="12"/>
  <c r="K69" i="12"/>
  <c r="J69" i="12"/>
  <c r="I69" i="12"/>
  <c r="H69" i="12"/>
  <c r="G69" i="12"/>
  <c r="F69" i="12"/>
  <c r="E69" i="12"/>
  <c r="AE68" i="12"/>
  <c r="AD68" i="12"/>
  <c r="AC68" i="12"/>
  <c r="AB68" i="12"/>
  <c r="AA68" i="12"/>
  <c r="Z68" i="12"/>
  <c r="Y68" i="12"/>
  <c r="X68" i="12"/>
  <c r="W68" i="12"/>
  <c r="V68" i="12"/>
  <c r="U68" i="12"/>
  <c r="T68" i="12"/>
  <c r="S68" i="12"/>
  <c r="Q68" i="12"/>
  <c r="P68" i="12"/>
  <c r="O68" i="12"/>
  <c r="N68" i="12"/>
  <c r="M68" i="12"/>
  <c r="L68" i="12"/>
  <c r="K68" i="12"/>
  <c r="J68" i="12"/>
  <c r="I68" i="12"/>
  <c r="H68" i="12"/>
  <c r="G68" i="12"/>
  <c r="F68" i="12"/>
  <c r="E68" i="12"/>
  <c r="AE67" i="12"/>
  <c r="AD67" i="12"/>
  <c r="AC67" i="12"/>
  <c r="AB67" i="12"/>
  <c r="AA67" i="12"/>
  <c r="Z67" i="12"/>
  <c r="Y67" i="12"/>
  <c r="X67" i="12"/>
  <c r="W67" i="12"/>
  <c r="V67" i="12"/>
  <c r="U67" i="12"/>
  <c r="T67" i="12"/>
  <c r="S67" i="12"/>
  <c r="Q67" i="12"/>
  <c r="P67" i="12"/>
  <c r="O67" i="12"/>
  <c r="N67" i="12"/>
  <c r="M67" i="12"/>
  <c r="L67" i="12"/>
  <c r="K67" i="12"/>
  <c r="J67" i="12"/>
  <c r="I67" i="12"/>
  <c r="H67" i="12"/>
  <c r="G67" i="12"/>
  <c r="F67" i="12"/>
  <c r="E67" i="12"/>
  <c r="AE66" i="12"/>
  <c r="AD66" i="12"/>
  <c r="AC66" i="12"/>
  <c r="AB66" i="12"/>
  <c r="AA66" i="12"/>
  <c r="Z66" i="12"/>
  <c r="Y66" i="12"/>
  <c r="X66" i="12"/>
  <c r="W66" i="12"/>
  <c r="V66" i="12"/>
  <c r="U66" i="12"/>
  <c r="T66" i="12"/>
  <c r="S66" i="12"/>
  <c r="Q66" i="12"/>
  <c r="P66" i="12"/>
  <c r="O66" i="12"/>
  <c r="N66" i="12"/>
  <c r="M66" i="12"/>
  <c r="L66" i="12"/>
  <c r="K66" i="12"/>
  <c r="J66" i="12"/>
  <c r="I66" i="12"/>
  <c r="H66" i="12"/>
  <c r="G66" i="12"/>
  <c r="F66" i="12"/>
  <c r="E66" i="12"/>
  <c r="AG60" i="12"/>
  <c r="AF60" i="12"/>
  <c r="AE60" i="12"/>
  <c r="AD60" i="12"/>
  <c r="AC60" i="12"/>
  <c r="AB60" i="12"/>
  <c r="AA60" i="12"/>
  <c r="Y60" i="12"/>
  <c r="X60" i="12"/>
  <c r="W60" i="12"/>
  <c r="V60" i="12"/>
  <c r="U60" i="12"/>
  <c r="T60" i="12"/>
  <c r="S60" i="12"/>
  <c r="R60" i="12"/>
  <c r="Q60" i="12"/>
  <c r="P60" i="12"/>
  <c r="O60" i="12"/>
  <c r="N60" i="12"/>
  <c r="M60" i="12"/>
  <c r="K60" i="12"/>
  <c r="J60" i="12"/>
  <c r="I60" i="12"/>
  <c r="H60" i="12"/>
  <c r="G60" i="12"/>
  <c r="F60" i="12"/>
  <c r="E60" i="12"/>
  <c r="AG59" i="12"/>
  <c r="AF59" i="12"/>
  <c r="AE59" i="12"/>
  <c r="AD59" i="12"/>
  <c r="AC59" i="12"/>
  <c r="AB59" i="12"/>
  <c r="AA59" i="12"/>
  <c r="Y59" i="12"/>
  <c r="X59" i="12"/>
  <c r="W59" i="12"/>
  <c r="V59" i="12"/>
  <c r="U59" i="12"/>
  <c r="T59" i="12"/>
  <c r="S59" i="12"/>
  <c r="R59" i="12"/>
  <c r="Q59" i="12"/>
  <c r="P59" i="12"/>
  <c r="O59" i="12"/>
  <c r="N59" i="12"/>
  <c r="M59" i="12"/>
  <c r="K59" i="12"/>
  <c r="J59" i="12"/>
  <c r="I59" i="12"/>
  <c r="H59" i="12"/>
  <c r="G59" i="12"/>
  <c r="F59" i="12"/>
  <c r="E59" i="12"/>
  <c r="AG58" i="12"/>
  <c r="AF58" i="12"/>
  <c r="AE58" i="12"/>
  <c r="AD58" i="12"/>
  <c r="AC58" i="12"/>
  <c r="AB58" i="12"/>
  <c r="AA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K58" i="12"/>
  <c r="J58" i="12"/>
  <c r="I58" i="12"/>
  <c r="H58" i="12"/>
  <c r="G58" i="12"/>
  <c r="F58" i="12"/>
  <c r="E58" i="12"/>
  <c r="AG57" i="12"/>
  <c r="AF57" i="12"/>
  <c r="AE57" i="12"/>
  <c r="AD57" i="12"/>
  <c r="AC57" i="12"/>
  <c r="AB57" i="12"/>
  <c r="AA57" i="12"/>
  <c r="Y57" i="12"/>
  <c r="X57" i="12"/>
  <c r="W57" i="12"/>
  <c r="V57" i="12"/>
  <c r="U57" i="12"/>
  <c r="T57" i="12"/>
  <c r="S57" i="12"/>
  <c r="R57" i="12"/>
  <c r="Q57" i="12"/>
  <c r="P57" i="12"/>
  <c r="O57" i="12"/>
  <c r="N57" i="12"/>
  <c r="M57" i="12"/>
  <c r="K57" i="12"/>
  <c r="J57" i="12"/>
  <c r="I57" i="12"/>
  <c r="H57" i="12"/>
  <c r="G57" i="12"/>
  <c r="F57" i="12"/>
  <c r="E57" i="12"/>
  <c r="AG56" i="12"/>
  <c r="AF56" i="12"/>
  <c r="AE56" i="12"/>
  <c r="AD56" i="12"/>
  <c r="AC56" i="12"/>
  <c r="AB56" i="12"/>
  <c r="AA56" i="12"/>
  <c r="Y56" i="12"/>
  <c r="X56" i="12"/>
  <c r="W56" i="12"/>
  <c r="V56" i="12"/>
  <c r="U56" i="12"/>
  <c r="T56" i="12"/>
  <c r="S56" i="12"/>
  <c r="R56" i="12"/>
  <c r="Q56" i="12"/>
  <c r="P56" i="12"/>
  <c r="O56" i="12"/>
  <c r="N56" i="12"/>
  <c r="M56" i="12"/>
  <c r="K56" i="12"/>
  <c r="J56" i="12"/>
  <c r="I56" i="12"/>
  <c r="H56" i="12"/>
  <c r="G56" i="12"/>
  <c r="F56" i="12"/>
  <c r="E56" i="12"/>
  <c r="AG55" i="12"/>
  <c r="AF55" i="12"/>
  <c r="AE55" i="12"/>
  <c r="AD55" i="12"/>
  <c r="AC55" i="12"/>
  <c r="AB55" i="12"/>
  <c r="AA55" i="12"/>
  <c r="Y55" i="12"/>
  <c r="X55" i="12"/>
  <c r="W55" i="12"/>
  <c r="V55" i="12"/>
  <c r="U55" i="12"/>
  <c r="T55" i="12"/>
  <c r="S55" i="12"/>
  <c r="R55" i="12"/>
  <c r="Q55" i="12"/>
  <c r="P55" i="12"/>
  <c r="O55" i="12"/>
  <c r="N55" i="12"/>
  <c r="M55" i="12"/>
  <c r="K55" i="12"/>
  <c r="J55" i="12"/>
  <c r="I55" i="12"/>
  <c r="H55" i="12"/>
  <c r="G55" i="12"/>
  <c r="F55" i="12"/>
  <c r="E55" i="12"/>
  <c r="AG54" i="12"/>
  <c r="AF54" i="12"/>
  <c r="AE54" i="12"/>
  <c r="AD54" i="12"/>
  <c r="AC54" i="12"/>
  <c r="AB54" i="12"/>
  <c r="AA54" i="12"/>
  <c r="Y54" i="12"/>
  <c r="X54" i="12"/>
  <c r="W54" i="12"/>
  <c r="V54" i="12"/>
  <c r="U54" i="12"/>
  <c r="T54" i="12"/>
  <c r="S54" i="12"/>
  <c r="R54" i="12"/>
  <c r="Q54" i="12"/>
  <c r="P54" i="12"/>
  <c r="O54" i="12"/>
  <c r="N54" i="12"/>
  <c r="M54" i="12"/>
  <c r="K54" i="12"/>
  <c r="J54" i="12"/>
  <c r="I54" i="12"/>
  <c r="H54" i="12"/>
  <c r="G54" i="12"/>
  <c r="F54" i="12"/>
  <c r="E54" i="12"/>
  <c r="AG53" i="12"/>
  <c r="AF53" i="12"/>
  <c r="AE53" i="12"/>
  <c r="AD53" i="12"/>
  <c r="AC53" i="12"/>
  <c r="AB53" i="12"/>
  <c r="AA53" i="12"/>
  <c r="Y53" i="12"/>
  <c r="X53" i="12"/>
  <c r="W53" i="12"/>
  <c r="V53" i="12"/>
  <c r="U53" i="12"/>
  <c r="T53" i="12"/>
  <c r="S53" i="12"/>
  <c r="R53" i="12"/>
  <c r="Q53" i="12"/>
  <c r="P53" i="12"/>
  <c r="O53" i="12"/>
  <c r="N53" i="12"/>
  <c r="M53" i="12"/>
  <c r="K53" i="12"/>
  <c r="J53" i="12"/>
  <c r="I53" i="12"/>
  <c r="H53" i="12"/>
  <c r="G53" i="12"/>
  <c r="F53" i="12"/>
  <c r="E53" i="12"/>
  <c r="AG52" i="12"/>
  <c r="AF52" i="12"/>
  <c r="AE52" i="12"/>
  <c r="AD52" i="12"/>
  <c r="AC52" i="12"/>
  <c r="AB52" i="12"/>
  <c r="AA52" i="12"/>
  <c r="Y52" i="12"/>
  <c r="X52" i="12"/>
  <c r="W52" i="12"/>
  <c r="V52" i="12"/>
  <c r="U52" i="12"/>
  <c r="T52" i="12"/>
  <c r="S52" i="12"/>
  <c r="R52" i="12"/>
  <c r="Q52" i="12"/>
  <c r="P52" i="12"/>
  <c r="O52" i="12"/>
  <c r="N52" i="12"/>
  <c r="M52" i="12"/>
  <c r="K52" i="12"/>
  <c r="J52" i="12"/>
  <c r="I52" i="12"/>
  <c r="H52" i="12"/>
  <c r="G52" i="12"/>
  <c r="F52" i="12"/>
  <c r="E52" i="12"/>
  <c r="AG51" i="12"/>
  <c r="AF51" i="12"/>
  <c r="AE51" i="12"/>
  <c r="AD51" i="12"/>
  <c r="AC51" i="12"/>
  <c r="AB51" i="12"/>
  <c r="AA51" i="12"/>
  <c r="Y51" i="12"/>
  <c r="X51" i="12"/>
  <c r="W51" i="12"/>
  <c r="V51" i="12"/>
  <c r="U51" i="12"/>
  <c r="T51" i="12"/>
  <c r="S51" i="12"/>
  <c r="R51" i="12"/>
  <c r="Q51" i="12"/>
  <c r="P51" i="12"/>
  <c r="O51" i="12"/>
  <c r="N51" i="12"/>
  <c r="M51" i="12"/>
  <c r="K51" i="12"/>
  <c r="J51" i="12"/>
  <c r="I51" i="12"/>
  <c r="H51" i="12"/>
  <c r="G51" i="12"/>
  <c r="F51" i="12"/>
  <c r="E51" i="12"/>
  <c r="AG50" i="12"/>
  <c r="AF50" i="12"/>
  <c r="AE50" i="12"/>
  <c r="AD50" i="12"/>
  <c r="AC50" i="12"/>
  <c r="AB50" i="12"/>
  <c r="AA50" i="12"/>
  <c r="Y50" i="12"/>
  <c r="X50" i="12"/>
  <c r="W50" i="12"/>
  <c r="V50" i="12"/>
  <c r="U50" i="12"/>
  <c r="T50" i="12"/>
  <c r="S50" i="12"/>
  <c r="R50" i="12"/>
  <c r="Q50" i="12"/>
  <c r="P50" i="12"/>
  <c r="O50" i="12"/>
  <c r="N50" i="12"/>
  <c r="M50" i="12"/>
  <c r="K50" i="12"/>
  <c r="J50" i="12"/>
  <c r="I50" i="12"/>
  <c r="H50" i="12"/>
  <c r="G50" i="12"/>
  <c r="F50" i="12"/>
  <c r="E50" i="12"/>
  <c r="AG49" i="12"/>
  <c r="AF49" i="12"/>
  <c r="AE49" i="12"/>
  <c r="AD49" i="12"/>
  <c r="AC49" i="12"/>
  <c r="AB49" i="12"/>
  <c r="AA49" i="12"/>
  <c r="Y49" i="12"/>
  <c r="X49" i="12"/>
  <c r="W49" i="12"/>
  <c r="V49" i="12"/>
  <c r="U49" i="12"/>
  <c r="T49" i="12"/>
  <c r="S49" i="12"/>
  <c r="R49" i="12"/>
  <c r="Q49" i="12"/>
  <c r="P49" i="12"/>
  <c r="O49" i="12"/>
  <c r="N49" i="12"/>
  <c r="M49" i="12"/>
  <c r="K49" i="12"/>
  <c r="J49" i="12"/>
  <c r="I49" i="12"/>
  <c r="H49" i="12"/>
  <c r="G49" i="12"/>
  <c r="F49" i="12"/>
  <c r="E49" i="12"/>
  <c r="AG48" i="12"/>
  <c r="AF48" i="12"/>
  <c r="AE48" i="12"/>
  <c r="AD48" i="12"/>
  <c r="AC48" i="12"/>
  <c r="AB48" i="12"/>
  <c r="AA48" i="12"/>
  <c r="Y48" i="12"/>
  <c r="X48" i="12"/>
  <c r="W48" i="12"/>
  <c r="V48" i="12"/>
  <c r="U48" i="12"/>
  <c r="T48" i="12"/>
  <c r="S48" i="12"/>
  <c r="R48" i="12"/>
  <c r="Q48" i="12"/>
  <c r="P48" i="12"/>
  <c r="O48" i="12"/>
  <c r="N48" i="12"/>
  <c r="M48" i="12"/>
  <c r="K48" i="12"/>
  <c r="J48" i="12"/>
  <c r="I48" i="12"/>
  <c r="H48" i="12"/>
  <c r="G48" i="12"/>
  <c r="F48" i="12"/>
  <c r="E48" i="12"/>
  <c r="AG47" i="12"/>
  <c r="AF47" i="12"/>
  <c r="AE47" i="12"/>
  <c r="AD47" i="12"/>
  <c r="AC47" i="12"/>
  <c r="AB47" i="12"/>
  <c r="AA47" i="12"/>
  <c r="Y47" i="12"/>
  <c r="X47" i="12"/>
  <c r="W47" i="12"/>
  <c r="V47" i="12"/>
  <c r="U47" i="12"/>
  <c r="T47" i="12"/>
  <c r="S47" i="12"/>
  <c r="R47" i="12"/>
  <c r="Q47" i="12"/>
  <c r="P47" i="12"/>
  <c r="O47" i="12"/>
  <c r="N47" i="12"/>
  <c r="M47" i="12"/>
  <c r="K47" i="12"/>
  <c r="J47" i="12"/>
  <c r="I47" i="12"/>
  <c r="H47" i="12"/>
  <c r="G47" i="12"/>
  <c r="F47" i="12"/>
  <c r="E47" i="12"/>
  <c r="AG46" i="12"/>
  <c r="AF46" i="12"/>
  <c r="AE46" i="12"/>
  <c r="AD46" i="12"/>
  <c r="AC46" i="12"/>
  <c r="AB46" i="12"/>
  <c r="AA46" i="12"/>
  <c r="Y46" i="12"/>
  <c r="X46" i="12"/>
  <c r="W46" i="12"/>
  <c r="V46" i="12"/>
  <c r="U46" i="12"/>
  <c r="T46" i="12"/>
  <c r="S46" i="12"/>
  <c r="R46" i="12"/>
  <c r="Q46" i="12"/>
  <c r="P46" i="12"/>
  <c r="O46" i="12"/>
  <c r="N46" i="12"/>
  <c r="M46" i="12"/>
  <c r="K46" i="12"/>
  <c r="J46" i="12"/>
  <c r="I46" i="12"/>
  <c r="H46" i="12"/>
  <c r="G46" i="12"/>
  <c r="F46" i="12"/>
  <c r="E46" i="12"/>
  <c r="AG45" i="12"/>
  <c r="AF45" i="12"/>
  <c r="AE45" i="12"/>
  <c r="AD45" i="12"/>
  <c r="AC45" i="12"/>
  <c r="AB45" i="12"/>
  <c r="AA45" i="12"/>
  <c r="Y45" i="12"/>
  <c r="X45" i="12"/>
  <c r="W45" i="12"/>
  <c r="V45" i="12"/>
  <c r="U45" i="12"/>
  <c r="T45" i="12"/>
  <c r="S45" i="12"/>
  <c r="R45" i="12"/>
  <c r="Q45" i="12"/>
  <c r="P45" i="12"/>
  <c r="O45" i="12"/>
  <c r="N45" i="12"/>
  <c r="M45" i="12"/>
  <c r="K45" i="12"/>
  <c r="J45" i="12"/>
  <c r="I45" i="12"/>
  <c r="H45" i="12"/>
  <c r="G45" i="12"/>
  <c r="F45" i="12"/>
  <c r="E45" i="12"/>
  <c r="R41" i="12"/>
  <c r="Q41" i="12"/>
  <c r="P41" i="12"/>
  <c r="O41" i="12"/>
  <c r="N41" i="12"/>
  <c r="M41" i="12"/>
  <c r="L41" i="12"/>
  <c r="R40" i="12"/>
  <c r="Q40" i="12"/>
  <c r="P40" i="12"/>
  <c r="O40" i="12"/>
  <c r="N40" i="12"/>
  <c r="M40" i="12"/>
  <c r="L40" i="12"/>
  <c r="R39" i="12"/>
  <c r="Q39" i="12"/>
  <c r="P39" i="12"/>
  <c r="O39" i="12"/>
  <c r="N39" i="12"/>
  <c r="M39" i="12"/>
  <c r="L39" i="12"/>
  <c r="R38" i="12"/>
  <c r="Q38" i="12"/>
  <c r="P38" i="12"/>
  <c r="O38" i="12"/>
  <c r="N38" i="12"/>
  <c r="M38" i="12"/>
  <c r="L38" i="12"/>
  <c r="R37" i="12"/>
  <c r="Q37" i="12"/>
  <c r="P37" i="12"/>
  <c r="O37" i="12"/>
  <c r="N37" i="12"/>
  <c r="M37" i="12"/>
  <c r="L37" i="12"/>
  <c r="R36" i="12"/>
  <c r="Q36" i="12"/>
  <c r="P36" i="12"/>
  <c r="O36" i="12"/>
  <c r="N36" i="12"/>
  <c r="M36" i="12"/>
  <c r="L36" i="12"/>
  <c r="R35" i="12"/>
  <c r="Q35" i="12"/>
  <c r="P35" i="12"/>
  <c r="O35" i="12"/>
  <c r="N35" i="12"/>
  <c r="M35" i="12"/>
  <c r="L35" i="12"/>
  <c r="H35" i="12"/>
  <c r="G35" i="12"/>
  <c r="F35" i="12"/>
  <c r="E35" i="12"/>
  <c r="D35" i="12"/>
  <c r="R34" i="12"/>
  <c r="Q34" i="12"/>
  <c r="P34" i="12"/>
  <c r="O34" i="12"/>
  <c r="N34" i="12"/>
  <c r="M34" i="12"/>
  <c r="L34" i="12"/>
  <c r="H34" i="12"/>
  <c r="G34" i="12"/>
  <c r="F34" i="12"/>
  <c r="E34" i="12"/>
  <c r="D34" i="12"/>
  <c r="R33" i="12"/>
  <c r="Q33" i="12"/>
  <c r="P33" i="12"/>
  <c r="O33" i="12"/>
  <c r="N33" i="12"/>
  <c r="M33" i="12"/>
  <c r="L33" i="12"/>
  <c r="H33" i="12"/>
  <c r="G33" i="12"/>
  <c r="F33" i="12"/>
  <c r="E33" i="12"/>
  <c r="D33" i="12"/>
  <c r="R32" i="12"/>
  <c r="Q32" i="12"/>
  <c r="P32" i="12"/>
  <c r="O32" i="12"/>
  <c r="N32" i="12"/>
  <c r="M32" i="12"/>
  <c r="L32" i="12"/>
  <c r="H32" i="12"/>
  <c r="G32" i="12"/>
  <c r="F32" i="12"/>
  <c r="E32" i="12"/>
  <c r="D32" i="12"/>
  <c r="R26" i="12"/>
  <c r="Q26" i="12"/>
  <c r="P26" i="12"/>
  <c r="O26" i="12"/>
  <c r="N26" i="12"/>
  <c r="M26" i="12"/>
  <c r="L26" i="12"/>
  <c r="R25" i="12"/>
  <c r="Q25" i="12"/>
  <c r="P25" i="12"/>
  <c r="O25" i="12"/>
  <c r="N25" i="12"/>
  <c r="M25" i="12"/>
  <c r="L25" i="12"/>
  <c r="R24" i="12"/>
  <c r="Q24" i="12"/>
  <c r="P24" i="12"/>
  <c r="O24" i="12"/>
  <c r="N24" i="12"/>
  <c r="M24" i="12"/>
  <c r="L24" i="12"/>
  <c r="I24" i="12"/>
  <c r="H24" i="12"/>
  <c r="G24" i="12"/>
  <c r="F24" i="12"/>
  <c r="E24" i="12"/>
  <c r="R23" i="12"/>
  <c r="Q23" i="12"/>
  <c r="P23" i="12"/>
  <c r="O23" i="12"/>
  <c r="N23" i="12"/>
  <c r="M23" i="12"/>
  <c r="L23" i="12"/>
  <c r="I23" i="12"/>
  <c r="H23" i="12"/>
  <c r="G23" i="12"/>
  <c r="F23" i="12"/>
  <c r="E23" i="12"/>
  <c r="D23" i="12"/>
  <c r="R22" i="12"/>
  <c r="Q22" i="12"/>
  <c r="P22" i="12"/>
  <c r="O22" i="12"/>
  <c r="N22" i="12"/>
  <c r="M22" i="12"/>
  <c r="L22" i="12"/>
  <c r="I22" i="12"/>
  <c r="H22" i="12"/>
  <c r="G22" i="12"/>
  <c r="F22" i="12"/>
  <c r="E22" i="12"/>
  <c r="D22" i="12"/>
  <c r="R21" i="12"/>
  <c r="Q21" i="12"/>
  <c r="P21" i="12"/>
  <c r="O21" i="12"/>
  <c r="N21" i="12"/>
  <c r="M21" i="12"/>
  <c r="L21" i="12"/>
  <c r="I21" i="12"/>
  <c r="H21" i="12"/>
  <c r="G21" i="12"/>
  <c r="F21" i="12"/>
  <c r="E21" i="12"/>
  <c r="D21" i="12"/>
  <c r="R20" i="12"/>
  <c r="Q20" i="12"/>
  <c r="P20" i="12"/>
  <c r="O20" i="12"/>
  <c r="N20" i="12"/>
  <c r="M20" i="12"/>
  <c r="L20" i="12"/>
  <c r="I20" i="12"/>
  <c r="H20" i="12"/>
  <c r="G20" i="12"/>
  <c r="F20" i="12"/>
  <c r="E20" i="12"/>
  <c r="D20" i="12"/>
  <c r="R19" i="12"/>
  <c r="Q19" i="12"/>
  <c r="P19" i="12"/>
  <c r="O19" i="12"/>
  <c r="N19" i="12"/>
  <c r="M19" i="12"/>
  <c r="L19" i="12"/>
  <c r="I19" i="12"/>
  <c r="H19" i="12"/>
  <c r="G19" i="12"/>
  <c r="F19" i="12"/>
  <c r="E19" i="12"/>
  <c r="D19" i="12"/>
  <c r="R18" i="12"/>
  <c r="Q18" i="12"/>
  <c r="P18" i="12"/>
  <c r="O18" i="12"/>
  <c r="N18" i="12"/>
  <c r="M18" i="12"/>
  <c r="L18" i="12"/>
  <c r="I18" i="12"/>
  <c r="H18" i="12"/>
  <c r="G18" i="12"/>
  <c r="F18" i="12"/>
  <c r="E18" i="12"/>
  <c r="D18" i="12"/>
  <c r="R17" i="12"/>
  <c r="Q17" i="12"/>
  <c r="P17" i="12"/>
  <c r="O17" i="12"/>
  <c r="N17" i="12"/>
  <c r="M17" i="12"/>
  <c r="L17" i="12"/>
  <c r="I17" i="12"/>
  <c r="H17" i="12"/>
  <c r="G17" i="12"/>
  <c r="F17" i="12"/>
  <c r="E17" i="12"/>
  <c r="D17" i="12"/>
  <c r="U106" i="2"/>
  <c r="T106" i="2"/>
  <c r="S106" i="2"/>
  <c r="R106" i="2"/>
  <c r="Q106" i="2"/>
  <c r="P106" i="2"/>
  <c r="O106" i="2"/>
  <c r="N106" i="2"/>
  <c r="L106" i="2"/>
  <c r="K106" i="2"/>
  <c r="J106" i="2"/>
  <c r="I106" i="2"/>
  <c r="H106" i="2"/>
  <c r="G106" i="2"/>
  <c r="F106" i="2"/>
  <c r="E106" i="2"/>
  <c r="U105" i="2"/>
  <c r="T105" i="2"/>
  <c r="S105" i="2"/>
  <c r="R105" i="2"/>
  <c r="Q105" i="2"/>
  <c r="P105" i="2"/>
  <c r="O105" i="2"/>
  <c r="N105" i="2"/>
  <c r="L105" i="2"/>
  <c r="K105" i="2"/>
  <c r="J105" i="2"/>
  <c r="I105" i="2"/>
  <c r="H105" i="2"/>
  <c r="G105" i="2"/>
  <c r="F105" i="2"/>
  <c r="E105" i="2"/>
  <c r="U104" i="2"/>
  <c r="T104" i="2"/>
  <c r="S104" i="2"/>
  <c r="R104" i="2"/>
  <c r="Q104" i="2"/>
  <c r="P104" i="2"/>
  <c r="O104" i="2"/>
  <c r="N104" i="2"/>
  <c r="L104" i="2"/>
  <c r="K104" i="2"/>
  <c r="J104" i="2"/>
  <c r="I104" i="2"/>
  <c r="H104" i="2"/>
  <c r="G104" i="2"/>
  <c r="F104" i="2"/>
  <c r="E104" i="2"/>
  <c r="U103" i="2"/>
  <c r="T103" i="2"/>
  <c r="S103" i="2"/>
  <c r="R103" i="2"/>
  <c r="Q103" i="2"/>
  <c r="P103" i="2"/>
  <c r="O103" i="2"/>
  <c r="N103" i="2"/>
  <c r="L103" i="2"/>
  <c r="K103" i="2"/>
  <c r="J103" i="2"/>
  <c r="I103" i="2"/>
  <c r="H103" i="2"/>
  <c r="G103" i="2"/>
  <c r="F103" i="2"/>
  <c r="E103" i="2"/>
  <c r="U102" i="2"/>
  <c r="T102" i="2"/>
  <c r="S102" i="2"/>
  <c r="R102" i="2"/>
  <c r="Q102" i="2"/>
  <c r="P102" i="2"/>
  <c r="O102" i="2"/>
  <c r="N102" i="2"/>
  <c r="L102" i="2"/>
  <c r="K102" i="2"/>
  <c r="J102" i="2"/>
  <c r="I102" i="2"/>
  <c r="H102" i="2"/>
  <c r="G102" i="2"/>
  <c r="F102" i="2"/>
  <c r="E102" i="2"/>
  <c r="U101" i="2"/>
  <c r="T101" i="2"/>
  <c r="S101" i="2"/>
  <c r="R101" i="2"/>
  <c r="Q101" i="2"/>
  <c r="P101" i="2"/>
  <c r="O101" i="2"/>
  <c r="N101" i="2"/>
  <c r="L101" i="2"/>
  <c r="K101" i="2"/>
  <c r="J101" i="2"/>
  <c r="I101" i="2"/>
  <c r="H101" i="2"/>
  <c r="G101" i="2"/>
  <c r="F101" i="2"/>
  <c r="E101" i="2"/>
  <c r="U100" i="2"/>
  <c r="T100" i="2"/>
  <c r="S100" i="2"/>
  <c r="R100" i="2"/>
  <c r="Q100" i="2"/>
  <c r="P100" i="2"/>
  <c r="O100" i="2"/>
  <c r="N100" i="2"/>
  <c r="L100" i="2"/>
  <c r="K100" i="2"/>
  <c r="J100" i="2"/>
  <c r="I100" i="2"/>
  <c r="H100" i="2"/>
  <c r="G100" i="2"/>
  <c r="F100" i="2"/>
  <c r="E100" i="2"/>
  <c r="U99" i="2"/>
  <c r="T99" i="2"/>
  <c r="S99" i="2"/>
  <c r="R99" i="2"/>
  <c r="Q99" i="2"/>
  <c r="P99" i="2"/>
  <c r="O99" i="2"/>
  <c r="N99" i="2"/>
  <c r="L99" i="2"/>
  <c r="K99" i="2"/>
  <c r="J99" i="2"/>
  <c r="I99" i="2"/>
  <c r="H99" i="2"/>
  <c r="G99" i="2"/>
  <c r="F99" i="2"/>
  <c r="E99" i="2"/>
  <c r="U98" i="2"/>
  <c r="T98" i="2"/>
  <c r="S98" i="2"/>
  <c r="R98" i="2"/>
  <c r="Q98" i="2"/>
  <c r="P98" i="2"/>
  <c r="O98" i="2"/>
  <c r="N98" i="2"/>
  <c r="L98" i="2"/>
  <c r="K98" i="2"/>
  <c r="J98" i="2"/>
  <c r="I98" i="2"/>
  <c r="H98" i="2"/>
  <c r="G98" i="2"/>
  <c r="F98" i="2"/>
  <c r="E98" i="2"/>
  <c r="AH98" i="2"/>
  <c r="AG98" i="2"/>
  <c r="AF98" i="2"/>
  <c r="AE98" i="2"/>
  <c r="AD98" i="2"/>
  <c r="U97" i="2"/>
  <c r="T97" i="2"/>
  <c r="S97" i="2"/>
  <c r="R97" i="2"/>
  <c r="Q97" i="2"/>
  <c r="P97" i="2"/>
  <c r="O97" i="2"/>
  <c r="N97" i="2"/>
  <c r="L97" i="2"/>
  <c r="K97" i="2"/>
  <c r="J97" i="2"/>
  <c r="I97" i="2"/>
  <c r="H97" i="2"/>
  <c r="G97" i="2"/>
  <c r="F97" i="2"/>
  <c r="E97" i="2"/>
  <c r="AH97" i="2"/>
  <c r="AG97" i="2"/>
  <c r="AF97" i="2"/>
  <c r="AE97" i="2"/>
  <c r="AD97" i="2"/>
  <c r="U96" i="2"/>
  <c r="T96" i="2"/>
  <c r="S96" i="2"/>
  <c r="R96" i="2"/>
  <c r="Q96" i="2"/>
  <c r="P96" i="2"/>
  <c r="O96" i="2"/>
  <c r="N96" i="2"/>
  <c r="L96" i="2"/>
  <c r="K96" i="2"/>
  <c r="J96" i="2"/>
  <c r="I96" i="2"/>
  <c r="H96" i="2"/>
  <c r="G96" i="2"/>
  <c r="F96" i="2"/>
  <c r="E96" i="2"/>
  <c r="AH96" i="2"/>
  <c r="AG96" i="2"/>
  <c r="AF96" i="2"/>
  <c r="AE96" i="2"/>
  <c r="AD96" i="2"/>
  <c r="U95" i="2"/>
  <c r="T95" i="2"/>
  <c r="S95" i="2"/>
  <c r="R95" i="2"/>
  <c r="Q95" i="2"/>
  <c r="P95" i="2"/>
  <c r="O95" i="2"/>
  <c r="N95" i="2"/>
  <c r="L95" i="2"/>
  <c r="K95" i="2"/>
  <c r="J95" i="2"/>
  <c r="I95" i="2"/>
  <c r="H95" i="2"/>
  <c r="G95" i="2"/>
  <c r="F95" i="2"/>
  <c r="E95" i="2"/>
  <c r="AH95" i="2"/>
  <c r="AG95" i="2"/>
  <c r="AF95" i="2"/>
  <c r="AE95" i="2"/>
  <c r="AD95" i="2"/>
  <c r="U94" i="2"/>
  <c r="T94" i="2"/>
  <c r="S94" i="2"/>
  <c r="R94" i="2"/>
  <c r="Q94" i="2"/>
  <c r="P94" i="2"/>
  <c r="O94" i="2"/>
  <c r="N94" i="2"/>
  <c r="L94" i="2"/>
  <c r="K94" i="2"/>
  <c r="J94" i="2"/>
  <c r="I94" i="2"/>
  <c r="H94" i="2"/>
  <c r="G94" i="2"/>
  <c r="F94" i="2"/>
  <c r="E94" i="2"/>
  <c r="AH94" i="2"/>
  <c r="AG94" i="2"/>
  <c r="AF94" i="2"/>
  <c r="AE94" i="2"/>
  <c r="AD94" i="2"/>
  <c r="U93" i="2"/>
  <c r="T93" i="2"/>
  <c r="S93" i="2"/>
  <c r="R93" i="2"/>
  <c r="Q93" i="2"/>
  <c r="P93" i="2"/>
  <c r="O93" i="2"/>
  <c r="N93" i="2"/>
  <c r="L93" i="2"/>
  <c r="K93" i="2"/>
  <c r="J93" i="2"/>
  <c r="I93" i="2"/>
  <c r="H93" i="2"/>
  <c r="G93" i="2"/>
  <c r="F93" i="2"/>
  <c r="E93" i="2"/>
  <c r="AH93" i="2"/>
  <c r="AG93" i="2"/>
  <c r="AF93" i="2"/>
  <c r="AE93" i="2"/>
  <c r="AD93" i="2"/>
  <c r="U92" i="2"/>
  <c r="T92" i="2"/>
  <c r="S92" i="2"/>
  <c r="R92" i="2"/>
  <c r="Q92" i="2"/>
  <c r="P92" i="2"/>
  <c r="O92" i="2"/>
  <c r="N92" i="2"/>
  <c r="L92" i="2"/>
  <c r="K92" i="2"/>
  <c r="J92" i="2"/>
  <c r="I92" i="2"/>
  <c r="H92" i="2"/>
  <c r="G92" i="2"/>
  <c r="F92" i="2"/>
  <c r="E92" i="2"/>
  <c r="AH92" i="2"/>
  <c r="AG92" i="2"/>
  <c r="AF92" i="2"/>
  <c r="AE92" i="2"/>
  <c r="AD92" i="2"/>
  <c r="U91" i="2"/>
  <c r="T91" i="2"/>
  <c r="S91" i="2"/>
  <c r="R91" i="2"/>
  <c r="Q91" i="2"/>
  <c r="P91" i="2"/>
  <c r="O91" i="2"/>
  <c r="N91" i="2"/>
  <c r="L91" i="2"/>
  <c r="K91" i="2"/>
  <c r="J91" i="2"/>
  <c r="I91" i="2"/>
  <c r="H91" i="2"/>
  <c r="G91" i="2"/>
  <c r="F91" i="2"/>
  <c r="E91" i="2"/>
  <c r="AH91" i="2"/>
  <c r="AG91" i="2"/>
  <c r="AF91" i="2"/>
  <c r="AE91" i="2"/>
  <c r="AD91" i="2"/>
  <c r="AH90" i="2"/>
  <c r="AG90" i="2"/>
  <c r="AF90" i="2"/>
  <c r="AE90" i="2"/>
  <c r="AD90" i="2"/>
  <c r="AH89" i="2"/>
  <c r="AG89" i="2"/>
  <c r="AF89" i="2"/>
  <c r="AE89" i="2"/>
  <c r="AD89" i="2"/>
  <c r="AH88" i="2"/>
  <c r="AG88" i="2"/>
  <c r="AF88" i="2"/>
  <c r="AE88" i="2"/>
  <c r="AD88" i="2"/>
  <c r="Y87" i="2"/>
  <c r="X87" i="2"/>
  <c r="W87" i="2"/>
  <c r="V87" i="2"/>
  <c r="U87" i="2"/>
  <c r="T87" i="2"/>
  <c r="S87" i="2"/>
  <c r="R87" i="2"/>
  <c r="Q87" i="2"/>
  <c r="P87" i="2"/>
  <c r="N87" i="2"/>
  <c r="M87" i="2"/>
  <c r="L87" i="2"/>
  <c r="K87" i="2"/>
  <c r="J87" i="2"/>
  <c r="I87" i="2"/>
  <c r="H87" i="2"/>
  <c r="G87" i="2"/>
  <c r="F87" i="2"/>
  <c r="E87" i="2"/>
  <c r="AH87" i="2"/>
  <c r="AG87" i="2"/>
  <c r="AF87" i="2"/>
  <c r="AE87" i="2"/>
  <c r="AD87" i="2"/>
  <c r="Y86" i="2"/>
  <c r="X86" i="2"/>
  <c r="W86" i="2"/>
  <c r="V86" i="2"/>
  <c r="U86" i="2"/>
  <c r="T86" i="2"/>
  <c r="S86" i="2"/>
  <c r="R86" i="2"/>
  <c r="Q86" i="2"/>
  <c r="P86" i="2"/>
  <c r="N86" i="2"/>
  <c r="M86" i="2"/>
  <c r="L86" i="2"/>
  <c r="K86" i="2"/>
  <c r="J86" i="2"/>
  <c r="I86" i="2"/>
  <c r="H86" i="2"/>
  <c r="G86" i="2"/>
  <c r="F86" i="2"/>
  <c r="E86" i="2"/>
  <c r="AH86" i="2"/>
  <c r="AG86" i="2"/>
  <c r="AF86" i="2"/>
  <c r="AE86" i="2"/>
  <c r="AD86" i="2"/>
  <c r="Y85" i="2"/>
  <c r="X85" i="2"/>
  <c r="W85" i="2"/>
  <c r="V85" i="2"/>
  <c r="U85" i="2"/>
  <c r="T85" i="2"/>
  <c r="S85" i="2"/>
  <c r="R85" i="2"/>
  <c r="Q85" i="2"/>
  <c r="P85" i="2"/>
  <c r="N85" i="2"/>
  <c r="M85" i="2"/>
  <c r="L85" i="2"/>
  <c r="K85" i="2"/>
  <c r="J85" i="2"/>
  <c r="I85" i="2"/>
  <c r="H85" i="2"/>
  <c r="G85" i="2"/>
  <c r="F85" i="2"/>
  <c r="E85" i="2"/>
  <c r="AH85" i="2"/>
  <c r="AG85" i="2"/>
  <c r="AF85" i="2"/>
  <c r="AE85" i="2"/>
  <c r="AD85" i="2"/>
  <c r="Y84" i="2"/>
  <c r="X84" i="2"/>
  <c r="W84" i="2"/>
  <c r="V84" i="2"/>
  <c r="U84" i="2"/>
  <c r="T84" i="2"/>
  <c r="S84" i="2"/>
  <c r="R84" i="2"/>
  <c r="Q84" i="2"/>
  <c r="P84" i="2"/>
  <c r="N84" i="2"/>
  <c r="M84" i="2"/>
  <c r="L84" i="2"/>
  <c r="K84" i="2"/>
  <c r="J84" i="2"/>
  <c r="I84" i="2"/>
  <c r="H84" i="2"/>
  <c r="G84" i="2"/>
  <c r="F84" i="2"/>
  <c r="E84" i="2"/>
  <c r="AH84" i="2"/>
  <c r="AG84" i="2"/>
  <c r="AF84" i="2"/>
  <c r="AE84" i="2"/>
  <c r="AD84" i="2"/>
  <c r="Y83" i="2"/>
  <c r="X83" i="2"/>
  <c r="W83" i="2"/>
  <c r="V83" i="2"/>
  <c r="U83" i="2"/>
  <c r="T83" i="2"/>
  <c r="S83" i="2"/>
  <c r="R83" i="2"/>
  <c r="Q83" i="2"/>
  <c r="P83" i="2"/>
  <c r="N83" i="2"/>
  <c r="M83" i="2"/>
  <c r="L83" i="2"/>
  <c r="K83" i="2"/>
  <c r="J83" i="2"/>
  <c r="I83" i="2"/>
  <c r="H83" i="2"/>
  <c r="G83" i="2"/>
  <c r="F83" i="2"/>
  <c r="E83" i="2"/>
  <c r="AH83" i="2"/>
  <c r="AG83" i="2"/>
  <c r="AF83" i="2"/>
  <c r="AE83" i="2"/>
  <c r="AD83" i="2"/>
  <c r="Y82" i="2"/>
  <c r="X82" i="2"/>
  <c r="W82" i="2"/>
  <c r="V82" i="2"/>
  <c r="U82" i="2"/>
  <c r="T82" i="2"/>
  <c r="S82" i="2"/>
  <c r="R82" i="2"/>
  <c r="Q82" i="2"/>
  <c r="P82" i="2"/>
  <c r="N82" i="2"/>
  <c r="M82" i="2"/>
  <c r="L82" i="2"/>
  <c r="K82" i="2"/>
  <c r="J82" i="2"/>
  <c r="I82" i="2"/>
  <c r="H82" i="2"/>
  <c r="G82" i="2"/>
  <c r="F82" i="2"/>
  <c r="E82" i="2"/>
  <c r="AH82" i="2"/>
  <c r="AG82" i="2"/>
  <c r="AF82" i="2"/>
  <c r="AE82" i="2"/>
  <c r="AD82" i="2"/>
  <c r="Y81" i="2"/>
  <c r="X81" i="2"/>
  <c r="W81" i="2"/>
  <c r="V81" i="2"/>
  <c r="U81" i="2"/>
  <c r="T81" i="2"/>
  <c r="S81" i="2"/>
  <c r="R81" i="2"/>
  <c r="Q81" i="2"/>
  <c r="P81" i="2"/>
  <c r="N81" i="2"/>
  <c r="M81" i="2"/>
  <c r="L81" i="2"/>
  <c r="K81" i="2"/>
  <c r="J81" i="2"/>
  <c r="I81" i="2"/>
  <c r="H81" i="2"/>
  <c r="G81" i="2"/>
  <c r="F81" i="2"/>
  <c r="E81" i="2"/>
  <c r="AH81" i="2"/>
  <c r="AG81" i="2"/>
  <c r="AF81" i="2"/>
  <c r="AE81" i="2"/>
  <c r="AD81" i="2"/>
  <c r="Y80" i="2"/>
  <c r="X80" i="2"/>
  <c r="W80" i="2"/>
  <c r="V80" i="2"/>
  <c r="U80" i="2"/>
  <c r="T80" i="2"/>
  <c r="S80" i="2"/>
  <c r="R80" i="2"/>
  <c r="Q80" i="2"/>
  <c r="P80" i="2"/>
  <c r="N80" i="2"/>
  <c r="M80" i="2"/>
  <c r="L80" i="2"/>
  <c r="K80" i="2"/>
  <c r="J80" i="2"/>
  <c r="I80" i="2"/>
  <c r="H80" i="2"/>
  <c r="G80" i="2"/>
  <c r="F80" i="2"/>
  <c r="E80" i="2"/>
  <c r="AH80" i="2"/>
  <c r="AG80" i="2"/>
  <c r="AF80" i="2"/>
  <c r="AE80" i="2"/>
  <c r="AD80" i="2"/>
  <c r="Y79" i="2"/>
  <c r="X79" i="2"/>
  <c r="W79" i="2"/>
  <c r="V79" i="2"/>
  <c r="U79" i="2"/>
  <c r="T79" i="2"/>
  <c r="S79" i="2"/>
  <c r="R79" i="2"/>
  <c r="Q79" i="2"/>
  <c r="P79" i="2"/>
  <c r="N79" i="2"/>
  <c r="M79" i="2"/>
  <c r="L79" i="2"/>
  <c r="K79" i="2"/>
  <c r="J79" i="2"/>
  <c r="I79" i="2"/>
  <c r="H79" i="2"/>
  <c r="G79" i="2"/>
  <c r="F79" i="2"/>
  <c r="E79" i="2"/>
  <c r="AH79" i="2"/>
  <c r="AG79" i="2"/>
  <c r="AF79" i="2"/>
  <c r="AE79" i="2"/>
  <c r="AD79" i="2"/>
  <c r="Y78" i="2"/>
  <c r="X78" i="2"/>
  <c r="W78" i="2"/>
  <c r="V78" i="2"/>
  <c r="U78" i="2"/>
  <c r="T78" i="2"/>
  <c r="S78" i="2"/>
  <c r="R78" i="2"/>
  <c r="Q78" i="2"/>
  <c r="P78" i="2"/>
  <c r="N78" i="2"/>
  <c r="M78" i="2"/>
  <c r="L78" i="2"/>
  <c r="K78" i="2"/>
  <c r="J78" i="2"/>
  <c r="I78" i="2"/>
  <c r="H78" i="2"/>
  <c r="G78" i="2"/>
  <c r="F78" i="2"/>
  <c r="E78" i="2"/>
  <c r="AH78" i="2"/>
  <c r="AG78" i="2"/>
  <c r="AF78" i="2"/>
  <c r="AE78" i="2"/>
  <c r="AD78" i="2"/>
  <c r="Y77" i="2"/>
  <c r="X77" i="2"/>
  <c r="W77" i="2"/>
  <c r="V77" i="2"/>
  <c r="U77" i="2"/>
  <c r="T77" i="2"/>
  <c r="S77" i="2"/>
  <c r="R77" i="2"/>
  <c r="Q77" i="2"/>
  <c r="P77" i="2"/>
  <c r="N77" i="2"/>
  <c r="M77" i="2"/>
  <c r="L77" i="2"/>
  <c r="K77" i="2"/>
  <c r="J77" i="2"/>
  <c r="I77" i="2"/>
  <c r="H77" i="2"/>
  <c r="G77" i="2"/>
  <c r="F77" i="2"/>
  <c r="E77" i="2"/>
  <c r="AH77" i="2"/>
  <c r="AG77" i="2"/>
  <c r="AF77" i="2"/>
  <c r="AE77" i="2"/>
  <c r="AD77" i="2"/>
  <c r="Y76" i="2"/>
  <c r="X76" i="2"/>
  <c r="W76" i="2"/>
  <c r="V76" i="2"/>
  <c r="U76" i="2"/>
  <c r="T76" i="2"/>
  <c r="S76" i="2"/>
  <c r="R76" i="2"/>
  <c r="Q76" i="2"/>
  <c r="P76" i="2"/>
  <c r="N76" i="2"/>
  <c r="M76" i="2"/>
  <c r="L76" i="2"/>
  <c r="K76" i="2"/>
  <c r="J76" i="2"/>
  <c r="I76" i="2"/>
  <c r="H76" i="2"/>
  <c r="G76" i="2"/>
  <c r="F76" i="2"/>
  <c r="E76" i="2"/>
  <c r="AH76" i="2"/>
  <c r="AG76" i="2"/>
  <c r="AF76" i="2"/>
  <c r="AE76" i="2"/>
  <c r="AD76" i="2"/>
  <c r="Y75" i="2"/>
  <c r="X75" i="2"/>
  <c r="W75" i="2"/>
  <c r="V75" i="2"/>
  <c r="U75" i="2"/>
  <c r="T75" i="2"/>
  <c r="S75" i="2"/>
  <c r="R75" i="2"/>
  <c r="Q75" i="2"/>
  <c r="P75" i="2"/>
  <c r="N75" i="2"/>
  <c r="M75" i="2"/>
  <c r="L75" i="2"/>
  <c r="K75" i="2"/>
  <c r="J75" i="2"/>
  <c r="I75" i="2"/>
  <c r="H75" i="2"/>
  <c r="G75" i="2"/>
  <c r="F75" i="2"/>
  <c r="E75" i="2"/>
  <c r="AH75" i="2"/>
  <c r="AG75" i="2"/>
  <c r="AF75" i="2"/>
  <c r="AE75" i="2"/>
  <c r="AD75" i="2"/>
  <c r="Y74" i="2"/>
  <c r="X74" i="2"/>
  <c r="W74" i="2"/>
  <c r="V74" i="2"/>
  <c r="U74" i="2"/>
  <c r="T74" i="2"/>
  <c r="S74" i="2"/>
  <c r="R74" i="2"/>
  <c r="Q74" i="2"/>
  <c r="P74" i="2"/>
  <c r="N74" i="2"/>
  <c r="M74" i="2"/>
  <c r="L74" i="2"/>
  <c r="K74" i="2"/>
  <c r="J74" i="2"/>
  <c r="I74" i="2"/>
  <c r="H74" i="2"/>
  <c r="G74" i="2"/>
  <c r="F74" i="2"/>
  <c r="E74" i="2"/>
  <c r="AH74" i="2"/>
  <c r="AG74" i="2"/>
  <c r="AF74" i="2"/>
  <c r="AE74" i="2"/>
  <c r="AD74" i="2"/>
  <c r="Y73" i="2"/>
  <c r="X73" i="2"/>
  <c r="W73" i="2"/>
  <c r="V73" i="2"/>
  <c r="U73" i="2"/>
  <c r="T73" i="2"/>
  <c r="S73" i="2"/>
  <c r="R73" i="2"/>
  <c r="Q73" i="2"/>
  <c r="P73" i="2"/>
  <c r="N73" i="2"/>
  <c r="M73" i="2"/>
  <c r="L73" i="2"/>
  <c r="K73" i="2"/>
  <c r="J73" i="2"/>
  <c r="I73" i="2"/>
  <c r="H73" i="2"/>
  <c r="G73" i="2"/>
  <c r="F73" i="2"/>
  <c r="E73" i="2"/>
  <c r="AH73" i="2"/>
  <c r="AG73" i="2"/>
  <c r="AF73" i="2"/>
  <c r="AE73" i="2"/>
  <c r="AD73" i="2"/>
  <c r="Y72" i="2"/>
  <c r="X72" i="2"/>
  <c r="W72" i="2"/>
  <c r="V72" i="2"/>
  <c r="U72" i="2"/>
  <c r="T72" i="2"/>
  <c r="S72" i="2"/>
  <c r="R72" i="2"/>
  <c r="Q72" i="2"/>
  <c r="P72" i="2"/>
  <c r="N72" i="2"/>
  <c r="M72" i="2"/>
  <c r="L72" i="2"/>
  <c r="K72" i="2"/>
  <c r="J72" i="2"/>
  <c r="I72" i="2"/>
  <c r="H72" i="2"/>
  <c r="G72" i="2"/>
  <c r="F72" i="2"/>
  <c r="E72" i="2"/>
  <c r="AH72" i="2"/>
  <c r="AG72" i="2"/>
  <c r="AF72" i="2"/>
  <c r="AE72" i="2"/>
  <c r="AD72" i="2"/>
  <c r="AH71" i="2"/>
  <c r="AG71" i="2"/>
  <c r="AF71" i="2"/>
  <c r="AE71" i="2"/>
  <c r="AD71" i="2"/>
  <c r="AH65" i="2"/>
  <c r="AG65" i="2"/>
  <c r="AF65" i="2"/>
  <c r="AE65" i="2"/>
  <c r="AD64" i="2"/>
  <c r="AC64" i="2"/>
  <c r="AB64" i="2"/>
  <c r="AA64" i="2"/>
  <c r="Z64" i="2"/>
  <c r="Y64" i="2"/>
  <c r="W64" i="2"/>
  <c r="V64" i="2"/>
  <c r="U64" i="2"/>
  <c r="T64" i="2"/>
  <c r="S64" i="2"/>
  <c r="R64" i="2"/>
  <c r="Q64" i="2"/>
  <c r="P64" i="2"/>
  <c r="N64" i="2"/>
  <c r="M64" i="2"/>
  <c r="L64" i="2"/>
  <c r="K64" i="2"/>
  <c r="J64" i="2"/>
  <c r="I64" i="2"/>
  <c r="H64" i="2"/>
  <c r="G64" i="2"/>
  <c r="F64" i="2"/>
  <c r="E64" i="2"/>
  <c r="AD63" i="2"/>
  <c r="AC63" i="2"/>
  <c r="AB63" i="2"/>
  <c r="AA63" i="2"/>
  <c r="Z63" i="2"/>
  <c r="Y63" i="2"/>
  <c r="W63" i="2"/>
  <c r="V63" i="2"/>
  <c r="U63" i="2"/>
  <c r="T63" i="2"/>
  <c r="S63" i="2"/>
  <c r="R63" i="2"/>
  <c r="Q63" i="2"/>
  <c r="P63" i="2"/>
  <c r="N63" i="2"/>
  <c r="M63" i="2"/>
  <c r="L63" i="2"/>
  <c r="K63" i="2"/>
  <c r="J63" i="2"/>
  <c r="I63" i="2"/>
  <c r="H63" i="2"/>
  <c r="G63" i="2"/>
  <c r="F63" i="2"/>
  <c r="E63" i="2"/>
  <c r="AD62" i="2"/>
  <c r="AC62" i="2"/>
  <c r="AB62" i="2"/>
  <c r="AA62" i="2"/>
  <c r="Z62" i="2"/>
  <c r="Y62" i="2"/>
  <c r="W62" i="2"/>
  <c r="V62" i="2"/>
  <c r="U62" i="2"/>
  <c r="T62" i="2"/>
  <c r="S62" i="2"/>
  <c r="R62" i="2"/>
  <c r="Q62" i="2"/>
  <c r="P62" i="2"/>
  <c r="N62" i="2"/>
  <c r="M62" i="2"/>
  <c r="L62" i="2"/>
  <c r="K62" i="2"/>
  <c r="J62" i="2"/>
  <c r="I62" i="2"/>
  <c r="H62" i="2"/>
  <c r="G62" i="2"/>
  <c r="F62" i="2"/>
  <c r="E62" i="2"/>
  <c r="AD61" i="2"/>
  <c r="AC61" i="2"/>
  <c r="AB61" i="2"/>
  <c r="AA61" i="2"/>
  <c r="Z61" i="2"/>
  <c r="Y61" i="2"/>
  <c r="W61" i="2"/>
  <c r="V61" i="2"/>
  <c r="U61" i="2"/>
  <c r="T61" i="2"/>
  <c r="S61" i="2"/>
  <c r="R61" i="2"/>
  <c r="Q61" i="2"/>
  <c r="P61" i="2"/>
  <c r="N61" i="2"/>
  <c r="M61" i="2"/>
  <c r="L61" i="2"/>
  <c r="K61" i="2"/>
  <c r="J61" i="2"/>
  <c r="I61" i="2"/>
  <c r="H61" i="2"/>
  <c r="G61" i="2"/>
  <c r="F61" i="2"/>
  <c r="E61" i="2"/>
  <c r="AD60" i="2"/>
  <c r="AC60" i="2"/>
  <c r="AB60" i="2"/>
  <c r="AA60" i="2"/>
  <c r="Z60" i="2"/>
  <c r="Y60" i="2"/>
  <c r="W60" i="2"/>
  <c r="V60" i="2"/>
  <c r="U60" i="2"/>
  <c r="T60" i="2"/>
  <c r="S60" i="2"/>
  <c r="R60" i="2"/>
  <c r="Q60" i="2"/>
  <c r="P60" i="2"/>
  <c r="N60" i="2"/>
  <c r="M60" i="2"/>
  <c r="L60" i="2"/>
  <c r="K60" i="2"/>
  <c r="J60" i="2"/>
  <c r="I60" i="2"/>
  <c r="H60" i="2"/>
  <c r="G60" i="2"/>
  <c r="F60" i="2"/>
  <c r="E60" i="2"/>
  <c r="AD59" i="2"/>
  <c r="AC59" i="2"/>
  <c r="AB59" i="2"/>
  <c r="AA59" i="2"/>
  <c r="Z59" i="2"/>
  <c r="Y59" i="2"/>
  <c r="W59" i="2"/>
  <c r="V59" i="2"/>
  <c r="U59" i="2"/>
  <c r="T59" i="2"/>
  <c r="S59" i="2"/>
  <c r="R59" i="2"/>
  <c r="Q59" i="2"/>
  <c r="P59" i="2"/>
  <c r="N59" i="2"/>
  <c r="M59" i="2"/>
  <c r="L59" i="2"/>
  <c r="K59" i="2"/>
  <c r="J59" i="2"/>
  <c r="I59" i="2"/>
  <c r="H59" i="2"/>
  <c r="G59" i="2"/>
  <c r="F59" i="2"/>
  <c r="E59" i="2"/>
  <c r="AD58" i="2"/>
  <c r="AC58" i="2"/>
  <c r="AB58" i="2"/>
  <c r="AA58" i="2"/>
  <c r="Z58" i="2"/>
  <c r="Y58" i="2"/>
  <c r="W58" i="2"/>
  <c r="V58" i="2"/>
  <c r="U58" i="2"/>
  <c r="T58" i="2"/>
  <c r="S58" i="2"/>
  <c r="R58" i="2"/>
  <c r="Q58" i="2"/>
  <c r="P58" i="2"/>
  <c r="N58" i="2"/>
  <c r="M58" i="2"/>
  <c r="L58" i="2"/>
  <c r="K58" i="2"/>
  <c r="J58" i="2"/>
  <c r="I58" i="2"/>
  <c r="H58" i="2"/>
  <c r="G58" i="2"/>
  <c r="F58" i="2"/>
  <c r="E58" i="2"/>
  <c r="AD57" i="2"/>
  <c r="AC57" i="2"/>
  <c r="AB57" i="2"/>
  <c r="AA57" i="2"/>
  <c r="Z57" i="2"/>
  <c r="Y57" i="2"/>
  <c r="W57" i="2"/>
  <c r="V57" i="2"/>
  <c r="U57" i="2"/>
  <c r="T57" i="2"/>
  <c r="S57" i="2"/>
  <c r="R57" i="2"/>
  <c r="Q57" i="2"/>
  <c r="P57" i="2"/>
  <c r="N57" i="2"/>
  <c r="M57" i="2"/>
  <c r="L57" i="2"/>
  <c r="K57" i="2"/>
  <c r="J57" i="2"/>
  <c r="I57" i="2"/>
  <c r="H57" i="2"/>
  <c r="G57" i="2"/>
  <c r="F57" i="2"/>
  <c r="E57" i="2"/>
  <c r="AD56" i="2"/>
  <c r="AC56" i="2"/>
  <c r="AB56" i="2"/>
  <c r="AA56" i="2"/>
  <c r="Z56" i="2"/>
  <c r="Y56" i="2"/>
  <c r="W56" i="2"/>
  <c r="V56" i="2"/>
  <c r="U56" i="2"/>
  <c r="T56" i="2"/>
  <c r="S56" i="2"/>
  <c r="R56" i="2"/>
  <c r="Q56" i="2"/>
  <c r="P56" i="2"/>
  <c r="N56" i="2"/>
  <c r="M56" i="2"/>
  <c r="L56" i="2"/>
  <c r="K56" i="2"/>
  <c r="J56" i="2"/>
  <c r="I56" i="2"/>
  <c r="H56" i="2"/>
  <c r="G56" i="2"/>
  <c r="F56" i="2"/>
  <c r="E56" i="2"/>
  <c r="AD55" i="2"/>
  <c r="AC55" i="2"/>
  <c r="AB55" i="2"/>
  <c r="AA55" i="2"/>
  <c r="Z55" i="2"/>
  <c r="Y55" i="2"/>
  <c r="W55" i="2"/>
  <c r="V55" i="2"/>
  <c r="U55" i="2"/>
  <c r="T55" i="2"/>
  <c r="S55" i="2"/>
  <c r="R55" i="2"/>
  <c r="Q55" i="2"/>
  <c r="P55" i="2"/>
  <c r="N55" i="2"/>
  <c r="M55" i="2"/>
  <c r="L55" i="2"/>
  <c r="K55" i="2"/>
  <c r="J55" i="2"/>
  <c r="I55" i="2"/>
  <c r="H55" i="2"/>
  <c r="G55" i="2"/>
  <c r="F55" i="2"/>
  <c r="E55" i="2"/>
  <c r="AD54" i="2"/>
  <c r="AC54" i="2"/>
  <c r="AB54" i="2"/>
  <c r="AA54" i="2"/>
  <c r="Z54" i="2"/>
  <c r="Y54" i="2"/>
  <c r="W54" i="2"/>
  <c r="V54" i="2"/>
  <c r="U54" i="2"/>
  <c r="T54" i="2"/>
  <c r="S54" i="2"/>
  <c r="R54" i="2"/>
  <c r="Q54" i="2"/>
  <c r="P54" i="2"/>
  <c r="N54" i="2"/>
  <c r="M54" i="2"/>
  <c r="L54" i="2"/>
  <c r="K54" i="2"/>
  <c r="J54" i="2"/>
  <c r="I54" i="2"/>
  <c r="H54" i="2"/>
  <c r="G54" i="2"/>
  <c r="F54" i="2"/>
  <c r="E54" i="2"/>
  <c r="AD53" i="2"/>
  <c r="AC53" i="2"/>
  <c r="AB53" i="2"/>
  <c r="AA53" i="2"/>
  <c r="Z53" i="2"/>
  <c r="Y53" i="2"/>
  <c r="W53" i="2"/>
  <c r="V53" i="2"/>
  <c r="U53" i="2"/>
  <c r="T53" i="2"/>
  <c r="S53" i="2"/>
  <c r="R53" i="2"/>
  <c r="Q53" i="2"/>
  <c r="P53" i="2"/>
  <c r="N53" i="2"/>
  <c r="M53" i="2"/>
  <c r="L53" i="2"/>
  <c r="K53" i="2"/>
  <c r="J53" i="2"/>
  <c r="I53" i="2"/>
  <c r="H53" i="2"/>
  <c r="G53" i="2"/>
  <c r="F53" i="2"/>
  <c r="E53" i="2"/>
  <c r="AD52" i="2"/>
  <c r="AC52" i="2"/>
  <c r="AB52" i="2"/>
  <c r="AA52" i="2"/>
  <c r="Z52" i="2"/>
  <c r="Y52" i="2"/>
  <c r="W52" i="2"/>
  <c r="V52" i="2"/>
  <c r="U52" i="2"/>
  <c r="T52" i="2"/>
  <c r="S52" i="2"/>
  <c r="R52" i="2"/>
  <c r="Q52" i="2"/>
  <c r="P52" i="2"/>
  <c r="N52" i="2"/>
  <c r="M52" i="2"/>
  <c r="L52" i="2"/>
  <c r="K52" i="2"/>
  <c r="J52" i="2"/>
  <c r="I52" i="2"/>
  <c r="H52" i="2"/>
  <c r="G52" i="2"/>
  <c r="F52" i="2"/>
  <c r="E52" i="2"/>
  <c r="AD51" i="2"/>
  <c r="AC51" i="2"/>
  <c r="AB51" i="2"/>
  <c r="AA51" i="2"/>
  <c r="Z51" i="2"/>
  <c r="Y51" i="2"/>
  <c r="W51" i="2"/>
  <c r="V51" i="2"/>
  <c r="U51" i="2"/>
  <c r="T51" i="2"/>
  <c r="S51" i="2"/>
  <c r="R51" i="2"/>
  <c r="Q51" i="2"/>
  <c r="P51" i="2"/>
  <c r="N51" i="2"/>
  <c r="M51" i="2"/>
  <c r="L51" i="2"/>
  <c r="K51" i="2"/>
  <c r="J51" i="2"/>
  <c r="I51" i="2"/>
  <c r="H51" i="2"/>
  <c r="G51" i="2"/>
  <c r="F51" i="2"/>
  <c r="E51" i="2"/>
  <c r="AD50" i="2"/>
  <c r="AC50" i="2"/>
  <c r="AB50" i="2"/>
  <c r="AA50" i="2"/>
  <c r="Z50" i="2"/>
  <c r="Y50" i="2"/>
  <c r="W50" i="2"/>
  <c r="V50" i="2"/>
  <c r="U50" i="2"/>
  <c r="T50" i="2"/>
  <c r="S50" i="2"/>
  <c r="R50" i="2"/>
  <c r="Q50" i="2"/>
  <c r="P50" i="2"/>
  <c r="N50" i="2"/>
  <c r="M50" i="2"/>
  <c r="L50" i="2"/>
  <c r="K50" i="2"/>
  <c r="J50" i="2"/>
  <c r="I50" i="2"/>
  <c r="H50" i="2"/>
  <c r="G50" i="2"/>
  <c r="F50" i="2"/>
  <c r="E50" i="2"/>
  <c r="AD49" i="2"/>
  <c r="AC49" i="2"/>
  <c r="AB49" i="2"/>
  <c r="AA49" i="2"/>
  <c r="Z49" i="2"/>
  <c r="Y49" i="2"/>
  <c r="Y65" i="2" s="1"/>
  <c r="W49" i="2"/>
  <c r="V49" i="2"/>
  <c r="U49" i="2"/>
  <c r="T49" i="2"/>
  <c r="T65" i="2" s="1"/>
  <c r="S49" i="2"/>
  <c r="R49" i="2"/>
  <c r="Q49" i="2"/>
  <c r="P49" i="2"/>
  <c r="P65" i="2" s="1"/>
  <c r="N49" i="2"/>
  <c r="M49" i="2"/>
  <c r="L49" i="2"/>
  <c r="K49" i="2"/>
  <c r="K65" i="2" s="1"/>
  <c r="J49" i="2"/>
  <c r="I49" i="2"/>
  <c r="H49" i="2"/>
  <c r="G49" i="2"/>
  <c r="G65" i="2" s="1"/>
  <c r="F49" i="2"/>
  <c r="E49" i="2"/>
  <c r="R41" i="2"/>
  <c r="Q41" i="2"/>
  <c r="P41" i="2"/>
  <c r="O41" i="2"/>
  <c r="N41" i="2"/>
  <c r="M41" i="2"/>
  <c r="L41" i="2"/>
  <c r="H43" i="2"/>
  <c r="R40" i="2"/>
  <c r="Q40" i="2"/>
  <c r="P40" i="2"/>
  <c r="O40" i="2"/>
  <c r="N40" i="2"/>
  <c r="M40" i="2"/>
  <c r="L40" i="2"/>
  <c r="H42" i="2"/>
  <c r="R39" i="2"/>
  <c r="Q39" i="2"/>
  <c r="P39" i="2"/>
  <c r="O39" i="2"/>
  <c r="N39" i="2"/>
  <c r="M39" i="2"/>
  <c r="L39" i="2"/>
  <c r="H41" i="2"/>
  <c r="R38" i="2"/>
  <c r="Q38" i="2"/>
  <c r="P38" i="2"/>
  <c r="O38" i="2"/>
  <c r="N38" i="2"/>
  <c r="M38" i="2"/>
  <c r="L38" i="2"/>
  <c r="H40" i="2"/>
  <c r="R37" i="2"/>
  <c r="Q37" i="2"/>
  <c r="P37" i="2"/>
  <c r="O37" i="2"/>
  <c r="N37" i="2"/>
  <c r="M37" i="2"/>
  <c r="L37" i="2"/>
  <c r="H39" i="2"/>
  <c r="R36" i="2"/>
  <c r="Q36" i="2"/>
  <c r="P36" i="2"/>
  <c r="O36" i="2"/>
  <c r="N36" i="2"/>
  <c r="M36" i="2"/>
  <c r="L36" i="2"/>
  <c r="R35" i="2"/>
  <c r="Q35" i="2"/>
  <c r="P35" i="2"/>
  <c r="O35" i="2"/>
  <c r="N35" i="2"/>
  <c r="M35" i="2"/>
  <c r="L35" i="2"/>
  <c r="R34" i="2"/>
  <c r="Q34" i="2"/>
  <c r="P34" i="2"/>
  <c r="O34" i="2"/>
  <c r="N34" i="2"/>
  <c r="M34" i="2"/>
  <c r="L34" i="2"/>
  <c r="R33" i="2"/>
  <c r="Q33" i="2"/>
  <c r="P33" i="2"/>
  <c r="O33" i="2"/>
  <c r="N33" i="2"/>
  <c r="M33" i="2"/>
  <c r="L33" i="2"/>
  <c r="R32" i="2"/>
  <c r="Q32" i="2"/>
  <c r="P32" i="2"/>
  <c r="O32" i="2"/>
  <c r="N32" i="2"/>
  <c r="M32" i="2"/>
  <c r="L32" i="2"/>
  <c r="I31" i="2"/>
  <c r="H31" i="2"/>
  <c r="G31" i="2"/>
  <c r="F31" i="2"/>
  <c r="E31" i="2"/>
  <c r="I30" i="2"/>
  <c r="H30" i="2"/>
  <c r="G30" i="2"/>
  <c r="F30" i="2"/>
  <c r="E30" i="2"/>
  <c r="D30" i="2"/>
  <c r="I29" i="2"/>
  <c r="H29" i="2"/>
  <c r="G29" i="2"/>
  <c r="F29" i="2"/>
  <c r="E29" i="2"/>
  <c r="D29" i="2"/>
  <c r="R27" i="2"/>
  <c r="Q27" i="2"/>
  <c r="P27" i="2"/>
  <c r="O27" i="2"/>
  <c r="N27" i="2"/>
  <c r="M27" i="2"/>
  <c r="L27" i="2"/>
  <c r="I28" i="2"/>
  <c r="H28" i="2"/>
  <c r="G28" i="2"/>
  <c r="F28" i="2"/>
  <c r="E28" i="2"/>
  <c r="D28" i="2"/>
  <c r="R26" i="2"/>
  <c r="Q26" i="2"/>
  <c r="P26" i="2"/>
  <c r="O26" i="2"/>
  <c r="N26" i="2"/>
  <c r="M26" i="2"/>
  <c r="L26" i="2"/>
  <c r="I27" i="2"/>
  <c r="H27" i="2"/>
  <c r="G27" i="2"/>
  <c r="F27" i="2"/>
  <c r="E27" i="2"/>
  <c r="D27" i="2"/>
  <c r="R25" i="2"/>
  <c r="Q25" i="2"/>
  <c r="P25" i="2"/>
  <c r="O25" i="2"/>
  <c r="N25" i="2"/>
  <c r="M25" i="2"/>
  <c r="L25" i="2"/>
  <c r="I26" i="2"/>
  <c r="H26" i="2"/>
  <c r="G26" i="2"/>
  <c r="F26" i="2"/>
  <c r="E26" i="2"/>
  <c r="D26" i="2"/>
  <c r="R24" i="2"/>
  <c r="Q24" i="2"/>
  <c r="P24" i="2"/>
  <c r="O24" i="2"/>
  <c r="N24" i="2"/>
  <c r="M24" i="2"/>
  <c r="L24" i="2"/>
  <c r="I25" i="2"/>
  <c r="H25" i="2"/>
  <c r="G25" i="2"/>
  <c r="F25" i="2"/>
  <c r="E25" i="2"/>
  <c r="D25" i="2"/>
  <c r="R23" i="2"/>
  <c r="Q23" i="2"/>
  <c r="P23" i="2"/>
  <c r="O23" i="2"/>
  <c r="N23" i="2"/>
  <c r="M23" i="2"/>
  <c r="L23" i="2"/>
  <c r="I24" i="2"/>
  <c r="H24" i="2"/>
  <c r="G24" i="2"/>
  <c r="F24" i="2"/>
  <c r="E24" i="2"/>
  <c r="D24" i="2"/>
  <c r="R22" i="2"/>
  <c r="Q22" i="2"/>
  <c r="P22" i="2"/>
  <c r="O22" i="2"/>
  <c r="N22" i="2"/>
  <c r="M22" i="2"/>
  <c r="L22" i="2"/>
  <c r="I23" i="2"/>
  <c r="H23" i="2"/>
  <c r="G23" i="2"/>
  <c r="F23" i="2"/>
  <c r="E23" i="2"/>
  <c r="D23" i="2"/>
  <c r="R21" i="2"/>
  <c r="Q21" i="2"/>
  <c r="P21" i="2"/>
  <c r="O21" i="2"/>
  <c r="N21" i="2"/>
  <c r="M21" i="2"/>
  <c r="L21" i="2"/>
  <c r="I22" i="2"/>
  <c r="H22" i="2"/>
  <c r="G22" i="2"/>
  <c r="F22" i="2"/>
  <c r="E22" i="2"/>
  <c r="D22" i="2"/>
  <c r="R20" i="2"/>
  <c r="Q20" i="2"/>
  <c r="P20" i="2"/>
  <c r="O20" i="2"/>
  <c r="N20" i="2"/>
  <c r="M20" i="2"/>
  <c r="L20" i="2"/>
  <c r="I21" i="2"/>
  <c r="H21" i="2"/>
  <c r="G21" i="2"/>
  <c r="F21" i="2"/>
  <c r="E21" i="2"/>
  <c r="D21" i="2"/>
  <c r="R19" i="2"/>
  <c r="Q19" i="2"/>
  <c r="P19" i="2"/>
  <c r="O19" i="2"/>
  <c r="N19" i="2"/>
  <c r="M19" i="2"/>
  <c r="L19" i="2"/>
  <c r="I19" i="2"/>
  <c r="H19" i="2"/>
  <c r="G19" i="2"/>
  <c r="F19" i="2"/>
  <c r="E19" i="2"/>
  <c r="D19" i="2"/>
  <c r="R18" i="2"/>
  <c r="Q18" i="2"/>
  <c r="P18" i="2"/>
  <c r="O18" i="2"/>
  <c r="N18" i="2"/>
  <c r="M18" i="2"/>
  <c r="L18" i="2"/>
  <c r="I18" i="2"/>
  <c r="H18" i="2"/>
  <c r="G18" i="2"/>
  <c r="F18" i="2"/>
  <c r="E18" i="2"/>
  <c r="D18" i="2"/>
  <c r="I17" i="2"/>
  <c r="H17" i="2"/>
  <c r="G17" i="2"/>
  <c r="F17" i="2"/>
  <c r="E17" i="2"/>
  <c r="D17" i="2"/>
  <c r="I16" i="2"/>
  <c r="H16" i="2"/>
  <c r="G16" i="2"/>
  <c r="F16" i="2"/>
  <c r="E16" i="2"/>
  <c r="D16" i="2"/>
  <c r="AJ122" i="8"/>
  <c r="AI122" i="8"/>
  <c r="AH122" i="8"/>
  <c r="AG122" i="8"/>
  <c r="AF122" i="8"/>
  <c r="AJ121" i="8"/>
  <c r="AI121" i="8"/>
  <c r="AH121" i="8"/>
  <c r="AG121" i="8"/>
  <c r="AF121" i="8"/>
  <c r="AJ120" i="8"/>
  <c r="AI120" i="8"/>
  <c r="AH120" i="8"/>
  <c r="AG120" i="8"/>
  <c r="AF120" i="8"/>
  <c r="AJ119" i="8"/>
  <c r="AI119" i="8"/>
  <c r="AH119" i="8"/>
  <c r="AG119" i="8"/>
  <c r="AF119" i="8"/>
  <c r="AJ118" i="8"/>
  <c r="AI118" i="8"/>
  <c r="AH118" i="8"/>
  <c r="AG118" i="8"/>
  <c r="AF118" i="8"/>
  <c r="AJ117" i="8"/>
  <c r="AI117" i="8"/>
  <c r="AH117" i="8"/>
  <c r="AG117" i="8"/>
  <c r="AF117" i="8"/>
  <c r="AJ116" i="8"/>
  <c r="AI116" i="8"/>
  <c r="AH116" i="8"/>
  <c r="AG116" i="8"/>
  <c r="AF116" i="8"/>
  <c r="AJ115" i="8"/>
  <c r="AI115" i="8"/>
  <c r="AH115" i="8"/>
  <c r="AG115" i="8"/>
  <c r="AF115" i="8"/>
  <c r="AJ114" i="8"/>
  <c r="AI114" i="8"/>
  <c r="AH114" i="8"/>
  <c r="AG114" i="8"/>
  <c r="AF114" i="8"/>
  <c r="AJ113" i="8"/>
  <c r="AI113" i="8"/>
  <c r="AH113" i="8"/>
  <c r="AG113" i="8"/>
  <c r="AF113" i="8"/>
  <c r="AJ112" i="8"/>
  <c r="AI112" i="8"/>
  <c r="AH112" i="8"/>
  <c r="AG112" i="8"/>
  <c r="AF112" i="8"/>
  <c r="AJ111" i="8"/>
  <c r="AI111" i="8"/>
  <c r="AH111" i="8"/>
  <c r="AG111" i="8"/>
  <c r="AF111" i="8"/>
  <c r="AJ110" i="8"/>
  <c r="AI110" i="8"/>
  <c r="AH110" i="8"/>
  <c r="AG110" i="8"/>
  <c r="AF110" i="8"/>
  <c r="AJ109" i="8"/>
  <c r="AI109" i="8"/>
  <c r="AH109" i="8"/>
  <c r="AG109" i="8"/>
  <c r="AF109" i="8"/>
  <c r="AJ108" i="8"/>
  <c r="AI108" i="8"/>
  <c r="AH108" i="8"/>
  <c r="AG108" i="8"/>
  <c r="AF108" i="8"/>
  <c r="AJ107" i="8"/>
  <c r="AI107" i="8"/>
  <c r="AH107" i="8"/>
  <c r="AG107" i="8"/>
  <c r="AF107" i="8"/>
  <c r="AJ106" i="8"/>
  <c r="AI106" i="8"/>
  <c r="AH106" i="8"/>
  <c r="AG106" i="8"/>
  <c r="AF106" i="8"/>
  <c r="AJ105" i="8"/>
  <c r="AI105" i="8"/>
  <c r="AH105" i="8"/>
  <c r="AG105" i="8"/>
  <c r="AF105" i="8"/>
  <c r="AJ104" i="8"/>
  <c r="AI104" i="8"/>
  <c r="AH104" i="8"/>
  <c r="AG104" i="8"/>
  <c r="AF104" i="8"/>
  <c r="AJ103" i="8"/>
  <c r="AI103" i="8"/>
  <c r="AH103" i="8"/>
  <c r="AG103" i="8"/>
  <c r="AF103" i="8"/>
  <c r="AJ102" i="8"/>
  <c r="AI102" i="8"/>
  <c r="AH102" i="8"/>
  <c r="AG102" i="8"/>
  <c r="AF102" i="8"/>
  <c r="AJ101" i="8"/>
  <c r="AI101" i="8"/>
  <c r="AH101" i="8"/>
  <c r="AG101" i="8"/>
  <c r="AF101" i="8"/>
  <c r="AJ100" i="8"/>
  <c r="AI100" i="8"/>
  <c r="AH100" i="8"/>
  <c r="AG100" i="8"/>
  <c r="AF100" i="8"/>
  <c r="AJ99" i="8"/>
  <c r="AI99" i="8"/>
  <c r="AH99" i="8"/>
  <c r="AG99" i="8"/>
  <c r="AF99" i="8"/>
  <c r="AJ98" i="8"/>
  <c r="AI98" i="8"/>
  <c r="AH98" i="8"/>
  <c r="AG98" i="8"/>
  <c r="AF98" i="8"/>
  <c r="AJ97" i="8"/>
  <c r="AI97" i="8"/>
  <c r="AH97" i="8"/>
  <c r="AG97" i="8"/>
  <c r="AF97" i="8"/>
  <c r="AJ96" i="8"/>
  <c r="AI96" i="8"/>
  <c r="AH96" i="8"/>
  <c r="AG96" i="8"/>
  <c r="AF96" i="8"/>
  <c r="AJ95" i="8"/>
  <c r="AI95" i="8"/>
  <c r="AH95" i="8"/>
  <c r="AG95" i="8"/>
  <c r="AF95" i="8"/>
  <c r="AM89" i="8"/>
  <c r="AL89" i="8"/>
  <c r="AK89" i="8"/>
  <c r="AJ89" i="8"/>
  <c r="AI89" i="8"/>
  <c r="AH89" i="8"/>
  <c r="AG89" i="8"/>
  <c r="AF89" i="8"/>
  <c r="AE89" i="8"/>
  <c r="AD89" i="8"/>
  <c r="AC89" i="8"/>
  <c r="AA89" i="8"/>
  <c r="Z89" i="8"/>
  <c r="Y89" i="8"/>
  <c r="X89" i="8"/>
  <c r="W89" i="8"/>
  <c r="V89" i="8"/>
  <c r="U89" i="8"/>
  <c r="T89" i="8"/>
  <c r="S89" i="8"/>
  <c r="R89" i="8"/>
  <c r="Q89" i="8"/>
  <c r="O89" i="8"/>
  <c r="N89" i="8"/>
  <c r="M89" i="8"/>
  <c r="L89" i="8"/>
  <c r="K89" i="8"/>
  <c r="J89" i="8"/>
  <c r="I89" i="8"/>
  <c r="H89" i="8"/>
  <c r="G89" i="8"/>
  <c r="F89" i="8"/>
  <c r="E89" i="8"/>
  <c r="AM88" i="8"/>
  <c r="AL88" i="8"/>
  <c r="AK88" i="8"/>
  <c r="AJ88" i="8"/>
  <c r="AI88" i="8"/>
  <c r="AH88" i="8"/>
  <c r="AG88" i="8"/>
  <c r="AF88" i="8"/>
  <c r="AE88" i="8"/>
  <c r="AD88" i="8"/>
  <c r="AC88" i="8"/>
  <c r="AA88" i="8"/>
  <c r="Z88" i="8"/>
  <c r="Y88" i="8"/>
  <c r="X88" i="8"/>
  <c r="W88" i="8"/>
  <c r="V88" i="8"/>
  <c r="U88" i="8"/>
  <c r="T88" i="8"/>
  <c r="S88" i="8"/>
  <c r="R88" i="8"/>
  <c r="Q88" i="8"/>
  <c r="O88" i="8"/>
  <c r="N88" i="8"/>
  <c r="M88" i="8"/>
  <c r="L88" i="8"/>
  <c r="K88" i="8"/>
  <c r="J88" i="8"/>
  <c r="I88" i="8"/>
  <c r="H88" i="8"/>
  <c r="G88" i="8"/>
  <c r="F88" i="8"/>
  <c r="E88" i="8"/>
  <c r="AM87" i="8"/>
  <c r="AL87" i="8"/>
  <c r="AK87" i="8"/>
  <c r="AJ87" i="8"/>
  <c r="AI87" i="8"/>
  <c r="AH87" i="8"/>
  <c r="AG87" i="8"/>
  <c r="AF87" i="8"/>
  <c r="AE87" i="8"/>
  <c r="AD87" i="8"/>
  <c r="AC87" i="8"/>
  <c r="AA87" i="8"/>
  <c r="Z87" i="8"/>
  <c r="Y87" i="8"/>
  <c r="X87" i="8"/>
  <c r="W87" i="8"/>
  <c r="V87" i="8"/>
  <c r="U87" i="8"/>
  <c r="T87" i="8"/>
  <c r="S87" i="8"/>
  <c r="R87" i="8"/>
  <c r="Q87" i="8"/>
  <c r="O87" i="8"/>
  <c r="N87" i="8"/>
  <c r="M87" i="8"/>
  <c r="L87" i="8"/>
  <c r="K87" i="8"/>
  <c r="J87" i="8"/>
  <c r="I87" i="8"/>
  <c r="H87" i="8"/>
  <c r="G87" i="8"/>
  <c r="F87" i="8"/>
  <c r="E87" i="8"/>
  <c r="AM86" i="8"/>
  <c r="AL86" i="8"/>
  <c r="AK86" i="8"/>
  <c r="AJ86" i="8"/>
  <c r="AI86" i="8"/>
  <c r="AH86" i="8"/>
  <c r="AG86" i="8"/>
  <c r="AF86" i="8"/>
  <c r="AE86" i="8"/>
  <c r="AD86" i="8"/>
  <c r="AC86" i="8"/>
  <c r="AA86" i="8"/>
  <c r="Z86" i="8"/>
  <c r="Y86" i="8"/>
  <c r="X86" i="8"/>
  <c r="W86" i="8"/>
  <c r="V86" i="8"/>
  <c r="U86" i="8"/>
  <c r="T86" i="8"/>
  <c r="S86" i="8"/>
  <c r="R86" i="8"/>
  <c r="Q86" i="8"/>
  <c r="O86" i="8"/>
  <c r="N86" i="8"/>
  <c r="M86" i="8"/>
  <c r="L86" i="8"/>
  <c r="K86" i="8"/>
  <c r="J86" i="8"/>
  <c r="I86" i="8"/>
  <c r="H86" i="8"/>
  <c r="G86" i="8"/>
  <c r="F86" i="8"/>
  <c r="E86" i="8"/>
  <c r="AM85" i="8"/>
  <c r="AL85" i="8"/>
  <c r="AK85" i="8"/>
  <c r="AJ85" i="8"/>
  <c r="AI85" i="8"/>
  <c r="AH85" i="8"/>
  <c r="AG85" i="8"/>
  <c r="AF85" i="8"/>
  <c r="AE85" i="8"/>
  <c r="AD85" i="8"/>
  <c r="AC85" i="8"/>
  <c r="AA85" i="8"/>
  <c r="Z85" i="8"/>
  <c r="Y85" i="8"/>
  <c r="X85" i="8"/>
  <c r="W85" i="8"/>
  <c r="V85" i="8"/>
  <c r="U85" i="8"/>
  <c r="T85" i="8"/>
  <c r="S85" i="8"/>
  <c r="R85" i="8"/>
  <c r="Q85" i="8"/>
  <c r="O85" i="8"/>
  <c r="N85" i="8"/>
  <c r="M85" i="8"/>
  <c r="L85" i="8"/>
  <c r="K85" i="8"/>
  <c r="J85" i="8"/>
  <c r="I85" i="8"/>
  <c r="H85" i="8"/>
  <c r="G85" i="8"/>
  <c r="F85" i="8"/>
  <c r="E85" i="8"/>
  <c r="AM84" i="8"/>
  <c r="AL84" i="8"/>
  <c r="AK84" i="8"/>
  <c r="AJ84" i="8"/>
  <c r="AI84" i="8"/>
  <c r="AH84" i="8"/>
  <c r="AG84" i="8"/>
  <c r="AF84" i="8"/>
  <c r="AE84" i="8"/>
  <c r="AD84" i="8"/>
  <c r="AC84" i="8"/>
  <c r="AA84" i="8"/>
  <c r="Z84" i="8"/>
  <c r="Y84" i="8"/>
  <c r="X84" i="8"/>
  <c r="W84" i="8"/>
  <c r="V84" i="8"/>
  <c r="U84" i="8"/>
  <c r="T84" i="8"/>
  <c r="S84" i="8"/>
  <c r="R84" i="8"/>
  <c r="Q84" i="8"/>
  <c r="O84" i="8"/>
  <c r="N84" i="8"/>
  <c r="M84" i="8"/>
  <c r="L84" i="8"/>
  <c r="K84" i="8"/>
  <c r="J84" i="8"/>
  <c r="I84" i="8"/>
  <c r="H84" i="8"/>
  <c r="G84" i="8"/>
  <c r="F84" i="8"/>
  <c r="E84" i="8"/>
  <c r="AM83" i="8"/>
  <c r="AL83" i="8"/>
  <c r="AK83" i="8"/>
  <c r="AJ83" i="8"/>
  <c r="AI83" i="8"/>
  <c r="AH83" i="8"/>
  <c r="AG83" i="8"/>
  <c r="AF83" i="8"/>
  <c r="AE83" i="8"/>
  <c r="AD83" i="8"/>
  <c r="AC83" i="8"/>
  <c r="AA83" i="8"/>
  <c r="Z83" i="8"/>
  <c r="Y83" i="8"/>
  <c r="X83" i="8"/>
  <c r="W83" i="8"/>
  <c r="V83" i="8"/>
  <c r="U83" i="8"/>
  <c r="T83" i="8"/>
  <c r="S83" i="8"/>
  <c r="R83" i="8"/>
  <c r="Q83" i="8"/>
  <c r="O83" i="8"/>
  <c r="N83" i="8"/>
  <c r="M83" i="8"/>
  <c r="L83" i="8"/>
  <c r="K83" i="8"/>
  <c r="J83" i="8"/>
  <c r="I83" i="8"/>
  <c r="H83" i="8"/>
  <c r="G83" i="8"/>
  <c r="F83" i="8"/>
  <c r="E83" i="8"/>
  <c r="AM82" i="8"/>
  <c r="AL82" i="8"/>
  <c r="AK82" i="8"/>
  <c r="AJ82" i="8"/>
  <c r="AI82" i="8"/>
  <c r="AH82" i="8"/>
  <c r="AG82" i="8"/>
  <c r="AF82" i="8"/>
  <c r="AE82" i="8"/>
  <c r="AD82" i="8"/>
  <c r="AC82" i="8"/>
  <c r="AA82" i="8"/>
  <c r="Z82" i="8"/>
  <c r="Y82" i="8"/>
  <c r="X82" i="8"/>
  <c r="W82" i="8"/>
  <c r="V82" i="8"/>
  <c r="U82" i="8"/>
  <c r="T82" i="8"/>
  <c r="S82" i="8"/>
  <c r="R82" i="8"/>
  <c r="Q82" i="8"/>
  <c r="O82" i="8"/>
  <c r="N82" i="8"/>
  <c r="M82" i="8"/>
  <c r="L82" i="8"/>
  <c r="K82" i="8"/>
  <c r="J82" i="8"/>
  <c r="I82" i="8"/>
  <c r="H82" i="8"/>
  <c r="G82" i="8"/>
  <c r="F82" i="8"/>
  <c r="E82" i="8"/>
  <c r="AM81" i="8"/>
  <c r="AL81" i="8"/>
  <c r="AK81" i="8"/>
  <c r="AJ81" i="8"/>
  <c r="AI81" i="8"/>
  <c r="AH81" i="8"/>
  <c r="AG81" i="8"/>
  <c r="AF81" i="8"/>
  <c r="AE81" i="8"/>
  <c r="AD81" i="8"/>
  <c r="AC81" i="8"/>
  <c r="AA81" i="8"/>
  <c r="Z81" i="8"/>
  <c r="Y81" i="8"/>
  <c r="X81" i="8"/>
  <c r="W81" i="8"/>
  <c r="V81" i="8"/>
  <c r="U81" i="8"/>
  <c r="T81" i="8"/>
  <c r="S81" i="8"/>
  <c r="R81" i="8"/>
  <c r="Q81" i="8"/>
  <c r="O81" i="8"/>
  <c r="N81" i="8"/>
  <c r="M81" i="8"/>
  <c r="L81" i="8"/>
  <c r="K81" i="8"/>
  <c r="J81" i="8"/>
  <c r="I81" i="8"/>
  <c r="H81" i="8"/>
  <c r="G81" i="8"/>
  <c r="F81" i="8"/>
  <c r="E81" i="8"/>
  <c r="AM80" i="8"/>
  <c r="AL80" i="8"/>
  <c r="AK80" i="8"/>
  <c r="AJ80" i="8"/>
  <c r="AI80" i="8"/>
  <c r="AH80" i="8"/>
  <c r="AG80" i="8"/>
  <c r="AF80" i="8"/>
  <c r="AE80" i="8"/>
  <c r="AD80" i="8"/>
  <c r="AC80" i="8"/>
  <c r="AA80" i="8"/>
  <c r="Z80" i="8"/>
  <c r="Y80" i="8"/>
  <c r="X80" i="8"/>
  <c r="W80" i="8"/>
  <c r="V80" i="8"/>
  <c r="U80" i="8"/>
  <c r="T80" i="8"/>
  <c r="S80" i="8"/>
  <c r="R80" i="8"/>
  <c r="Q80" i="8"/>
  <c r="O80" i="8"/>
  <c r="N80" i="8"/>
  <c r="M80" i="8"/>
  <c r="L80" i="8"/>
  <c r="K80" i="8"/>
  <c r="J80" i="8"/>
  <c r="I80" i="8"/>
  <c r="H80" i="8"/>
  <c r="G80" i="8"/>
  <c r="F80" i="8"/>
  <c r="E80" i="8"/>
  <c r="AM79" i="8"/>
  <c r="AL79" i="8"/>
  <c r="AK79" i="8"/>
  <c r="AJ79" i="8"/>
  <c r="AI79" i="8"/>
  <c r="AH79" i="8"/>
  <c r="AG79" i="8"/>
  <c r="AF79" i="8"/>
  <c r="AE79" i="8"/>
  <c r="AD79" i="8"/>
  <c r="AC79" i="8"/>
  <c r="AA79" i="8"/>
  <c r="Z79" i="8"/>
  <c r="Y79" i="8"/>
  <c r="X79" i="8"/>
  <c r="W79" i="8"/>
  <c r="V79" i="8"/>
  <c r="U79" i="8"/>
  <c r="T79" i="8"/>
  <c r="S79" i="8"/>
  <c r="R79" i="8"/>
  <c r="Q79" i="8"/>
  <c r="O79" i="8"/>
  <c r="N79" i="8"/>
  <c r="M79" i="8"/>
  <c r="L79" i="8"/>
  <c r="K79" i="8"/>
  <c r="J79" i="8"/>
  <c r="I79" i="8"/>
  <c r="H79" i="8"/>
  <c r="G79" i="8"/>
  <c r="F79" i="8"/>
  <c r="E79" i="8"/>
  <c r="AM78" i="8"/>
  <c r="AL78" i="8"/>
  <c r="AK78" i="8"/>
  <c r="AJ78" i="8"/>
  <c r="AI78" i="8"/>
  <c r="AH78" i="8"/>
  <c r="AG78" i="8"/>
  <c r="AF78" i="8"/>
  <c r="AE78" i="8"/>
  <c r="AD78" i="8"/>
  <c r="AC78" i="8"/>
  <c r="AA78" i="8"/>
  <c r="Z78" i="8"/>
  <c r="Y78" i="8"/>
  <c r="X78" i="8"/>
  <c r="W78" i="8"/>
  <c r="V78" i="8"/>
  <c r="U78" i="8"/>
  <c r="T78" i="8"/>
  <c r="S78" i="8"/>
  <c r="R78" i="8"/>
  <c r="Q78" i="8"/>
  <c r="O78" i="8"/>
  <c r="N78" i="8"/>
  <c r="M78" i="8"/>
  <c r="L78" i="8"/>
  <c r="K78" i="8"/>
  <c r="J78" i="8"/>
  <c r="I78" i="8"/>
  <c r="H78" i="8"/>
  <c r="G78" i="8"/>
  <c r="F78" i="8"/>
  <c r="E78" i="8"/>
  <c r="AM77" i="8"/>
  <c r="AL77" i="8"/>
  <c r="AK77" i="8"/>
  <c r="AJ77" i="8"/>
  <c r="AI77" i="8"/>
  <c r="AH77" i="8"/>
  <c r="AG77" i="8"/>
  <c r="AF77" i="8"/>
  <c r="AE77" i="8"/>
  <c r="AD77" i="8"/>
  <c r="AC77" i="8"/>
  <c r="AA77" i="8"/>
  <c r="Z77" i="8"/>
  <c r="Y77" i="8"/>
  <c r="X77" i="8"/>
  <c r="W77" i="8"/>
  <c r="V77" i="8"/>
  <c r="U77" i="8"/>
  <c r="T77" i="8"/>
  <c r="S77" i="8"/>
  <c r="R77" i="8"/>
  <c r="Q77" i="8"/>
  <c r="O77" i="8"/>
  <c r="N77" i="8"/>
  <c r="M77" i="8"/>
  <c r="L77" i="8"/>
  <c r="K77" i="8"/>
  <c r="J77" i="8"/>
  <c r="I77" i="8"/>
  <c r="H77" i="8"/>
  <c r="G77" i="8"/>
  <c r="F77" i="8"/>
  <c r="E77" i="8"/>
  <c r="AM76" i="8"/>
  <c r="AL76" i="8"/>
  <c r="AK76" i="8"/>
  <c r="AJ76" i="8"/>
  <c r="AI76" i="8"/>
  <c r="AH76" i="8"/>
  <c r="AG76" i="8"/>
  <c r="AF76" i="8"/>
  <c r="AE76" i="8"/>
  <c r="AD76" i="8"/>
  <c r="AC76" i="8"/>
  <c r="AA76" i="8"/>
  <c r="Z76" i="8"/>
  <c r="Y76" i="8"/>
  <c r="X76" i="8"/>
  <c r="W76" i="8"/>
  <c r="V76" i="8"/>
  <c r="U76" i="8"/>
  <c r="T76" i="8"/>
  <c r="S76" i="8"/>
  <c r="R76" i="8"/>
  <c r="Q76" i="8"/>
  <c r="O76" i="8"/>
  <c r="N76" i="8"/>
  <c r="M76" i="8"/>
  <c r="L76" i="8"/>
  <c r="K76" i="8"/>
  <c r="J76" i="8"/>
  <c r="I76" i="8"/>
  <c r="H76" i="8"/>
  <c r="G76" i="8"/>
  <c r="F76" i="8"/>
  <c r="E76" i="8"/>
  <c r="AM75" i="8"/>
  <c r="AL75" i="8"/>
  <c r="AK75" i="8"/>
  <c r="AJ75" i="8"/>
  <c r="AI75" i="8"/>
  <c r="AH75" i="8"/>
  <c r="AG75" i="8"/>
  <c r="AF75" i="8"/>
  <c r="AE75" i="8"/>
  <c r="AD75" i="8"/>
  <c r="AC75" i="8"/>
  <c r="AA75" i="8"/>
  <c r="Z75" i="8"/>
  <c r="Y75" i="8"/>
  <c r="X75" i="8"/>
  <c r="W75" i="8"/>
  <c r="V75" i="8"/>
  <c r="U75" i="8"/>
  <c r="T75" i="8"/>
  <c r="S75" i="8"/>
  <c r="R75" i="8"/>
  <c r="Q75" i="8"/>
  <c r="O75" i="8"/>
  <c r="N75" i="8"/>
  <c r="M75" i="8"/>
  <c r="L75" i="8"/>
  <c r="K75" i="8"/>
  <c r="J75" i="8"/>
  <c r="I75" i="8"/>
  <c r="H75" i="8"/>
  <c r="G75" i="8"/>
  <c r="F75" i="8"/>
  <c r="E75" i="8"/>
  <c r="AM74" i="8"/>
  <c r="AL74" i="8"/>
  <c r="AK74" i="8"/>
  <c r="AJ74" i="8"/>
  <c r="AI74" i="8"/>
  <c r="AH74" i="8"/>
  <c r="AG74" i="8"/>
  <c r="AF74" i="8"/>
  <c r="AE74" i="8"/>
  <c r="AD74" i="8"/>
  <c r="AC74" i="8"/>
  <c r="AA74" i="8"/>
  <c r="Z74" i="8"/>
  <c r="Y74" i="8"/>
  <c r="X74" i="8"/>
  <c r="W74" i="8"/>
  <c r="V74" i="8"/>
  <c r="U74" i="8"/>
  <c r="T74" i="8"/>
  <c r="S74" i="8"/>
  <c r="R74" i="8"/>
  <c r="Q74" i="8"/>
  <c r="O74" i="8"/>
  <c r="N74" i="8"/>
  <c r="M74" i="8"/>
  <c r="L74" i="8"/>
  <c r="K74" i="8"/>
  <c r="J74" i="8"/>
  <c r="I74" i="8"/>
  <c r="H74" i="8"/>
  <c r="G74" i="8"/>
  <c r="F74" i="8"/>
  <c r="E74" i="8"/>
  <c r="AD68" i="8"/>
  <c r="AC68" i="8"/>
  <c r="AB68" i="8"/>
  <c r="AA68" i="8"/>
  <c r="Z68" i="8"/>
  <c r="Y68" i="8"/>
  <c r="X68" i="8"/>
  <c r="W68" i="8"/>
  <c r="U68" i="8"/>
  <c r="T68" i="8"/>
  <c r="S68" i="8"/>
  <c r="R68" i="8"/>
  <c r="Q68" i="8"/>
  <c r="P68" i="8"/>
  <c r="O68" i="8"/>
  <c r="N68" i="8"/>
  <c r="L68" i="8"/>
  <c r="K68" i="8"/>
  <c r="J68" i="8"/>
  <c r="I68" i="8"/>
  <c r="H68" i="8"/>
  <c r="G68" i="8"/>
  <c r="F68" i="8"/>
  <c r="E68" i="8"/>
  <c r="AD67" i="8"/>
  <c r="AC67" i="8"/>
  <c r="AB67" i="8"/>
  <c r="AA67" i="8"/>
  <c r="Z67" i="8"/>
  <c r="Y67" i="8"/>
  <c r="X67" i="8"/>
  <c r="W67" i="8"/>
  <c r="U67" i="8"/>
  <c r="T67" i="8"/>
  <c r="S67" i="8"/>
  <c r="R67" i="8"/>
  <c r="Q67" i="8"/>
  <c r="P67" i="8"/>
  <c r="O67" i="8"/>
  <c r="N67" i="8"/>
  <c r="L67" i="8"/>
  <c r="K67" i="8"/>
  <c r="J67" i="8"/>
  <c r="I67" i="8"/>
  <c r="H67" i="8"/>
  <c r="G67" i="8"/>
  <c r="F67" i="8"/>
  <c r="E67" i="8"/>
  <c r="AD66" i="8"/>
  <c r="AC66" i="8"/>
  <c r="AB66" i="8"/>
  <c r="AA66" i="8"/>
  <c r="Z66" i="8"/>
  <c r="Y66" i="8"/>
  <c r="X66" i="8"/>
  <c r="W66" i="8"/>
  <c r="U66" i="8"/>
  <c r="T66" i="8"/>
  <c r="S66" i="8"/>
  <c r="R66" i="8"/>
  <c r="Q66" i="8"/>
  <c r="P66" i="8"/>
  <c r="O66" i="8"/>
  <c r="N66" i="8"/>
  <c r="L66" i="8"/>
  <c r="K66" i="8"/>
  <c r="J66" i="8"/>
  <c r="I66" i="8"/>
  <c r="H66" i="8"/>
  <c r="G66" i="8"/>
  <c r="F66" i="8"/>
  <c r="E66" i="8"/>
  <c r="AD65" i="8"/>
  <c r="AC65" i="8"/>
  <c r="AB65" i="8"/>
  <c r="AA65" i="8"/>
  <c r="Z65" i="8"/>
  <c r="Y65" i="8"/>
  <c r="X65" i="8"/>
  <c r="W65" i="8"/>
  <c r="U65" i="8"/>
  <c r="T65" i="8"/>
  <c r="S65" i="8"/>
  <c r="R65" i="8"/>
  <c r="Q65" i="8"/>
  <c r="P65" i="8"/>
  <c r="O65" i="8"/>
  <c r="N65" i="8"/>
  <c r="L65" i="8"/>
  <c r="K65" i="8"/>
  <c r="J65" i="8"/>
  <c r="I65" i="8"/>
  <c r="H65" i="8"/>
  <c r="G65" i="8"/>
  <c r="F65" i="8"/>
  <c r="E65" i="8"/>
  <c r="AD64" i="8"/>
  <c r="AC64" i="8"/>
  <c r="AB64" i="8"/>
  <c r="AA64" i="8"/>
  <c r="Z64" i="8"/>
  <c r="Y64" i="8"/>
  <c r="X64" i="8"/>
  <c r="W64" i="8"/>
  <c r="U64" i="8"/>
  <c r="T64" i="8"/>
  <c r="S64" i="8"/>
  <c r="R64" i="8"/>
  <c r="Q64" i="8"/>
  <c r="P64" i="8"/>
  <c r="O64" i="8"/>
  <c r="N64" i="8"/>
  <c r="L64" i="8"/>
  <c r="K64" i="8"/>
  <c r="J64" i="8"/>
  <c r="I64" i="8"/>
  <c r="H64" i="8"/>
  <c r="G64" i="8"/>
  <c r="F64" i="8"/>
  <c r="E64" i="8"/>
  <c r="AD63" i="8"/>
  <c r="AC63" i="8"/>
  <c r="AB63" i="8"/>
  <c r="AA63" i="8"/>
  <c r="Z63" i="8"/>
  <c r="Y63" i="8"/>
  <c r="X63" i="8"/>
  <c r="W63" i="8"/>
  <c r="U63" i="8"/>
  <c r="T63" i="8"/>
  <c r="S63" i="8"/>
  <c r="R63" i="8"/>
  <c r="Q63" i="8"/>
  <c r="P63" i="8"/>
  <c r="O63" i="8"/>
  <c r="N63" i="8"/>
  <c r="L63" i="8"/>
  <c r="K63" i="8"/>
  <c r="J63" i="8"/>
  <c r="I63" i="8"/>
  <c r="H63" i="8"/>
  <c r="G63" i="8"/>
  <c r="F63" i="8"/>
  <c r="E63" i="8"/>
  <c r="AD62" i="8"/>
  <c r="AC62" i="8"/>
  <c r="AB62" i="8"/>
  <c r="AA62" i="8"/>
  <c r="Z62" i="8"/>
  <c r="Y62" i="8"/>
  <c r="X62" i="8"/>
  <c r="W62" i="8"/>
  <c r="U62" i="8"/>
  <c r="T62" i="8"/>
  <c r="S62" i="8"/>
  <c r="R62" i="8"/>
  <c r="Q62" i="8"/>
  <c r="P62" i="8"/>
  <c r="O62" i="8"/>
  <c r="N62" i="8"/>
  <c r="L62" i="8"/>
  <c r="K62" i="8"/>
  <c r="J62" i="8"/>
  <c r="I62" i="8"/>
  <c r="H62" i="8"/>
  <c r="G62" i="8"/>
  <c r="F62" i="8"/>
  <c r="E62" i="8"/>
  <c r="AD61" i="8"/>
  <c r="AC61" i="8"/>
  <c r="AB61" i="8"/>
  <c r="AA61" i="8"/>
  <c r="Z61" i="8"/>
  <c r="Y61" i="8"/>
  <c r="X61" i="8"/>
  <c r="W61" i="8"/>
  <c r="U61" i="8"/>
  <c r="T61" i="8"/>
  <c r="S61" i="8"/>
  <c r="R61" i="8"/>
  <c r="Q61" i="8"/>
  <c r="P61" i="8"/>
  <c r="O61" i="8"/>
  <c r="N61" i="8"/>
  <c r="L61" i="8"/>
  <c r="K61" i="8"/>
  <c r="J61" i="8"/>
  <c r="I61" i="8"/>
  <c r="H61" i="8"/>
  <c r="G61" i="8"/>
  <c r="F61" i="8"/>
  <c r="E61" i="8"/>
  <c r="AD60" i="8"/>
  <c r="AC60" i="8"/>
  <c r="AB60" i="8"/>
  <c r="AA60" i="8"/>
  <c r="Z60" i="8"/>
  <c r="Y60" i="8"/>
  <c r="X60" i="8"/>
  <c r="W60" i="8"/>
  <c r="U60" i="8"/>
  <c r="T60" i="8"/>
  <c r="S60" i="8"/>
  <c r="R60" i="8"/>
  <c r="Q60" i="8"/>
  <c r="P60" i="8"/>
  <c r="O60" i="8"/>
  <c r="N60" i="8"/>
  <c r="L60" i="8"/>
  <c r="K60" i="8"/>
  <c r="J60" i="8"/>
  <c r="I60" i="8"/>
  <c r="H60" i="8"/>
  <c r="G60" i="8"/>
  <c r="F60" i="8"/>
  <c r="E60" i="8"/>
  <c r="AD59" i="8"/>
  <c r="AC59" i="8"/>
  <c r="AB59" i="8"/>
  <c r="AA59" i="8"/>
  <c r="Z59" i="8"/>
  <c r="Y59" i="8"/>
  <c r="X59" i="8"/>
  <c r="W59" i="8"/>
  <c r="U59" i="8"/>
  <c r="T59" i="8"/>
  <c r="S59" i="8"/>
  <c r="R59" i="8"/>
  <c r="Q59" i="8"/>
  <c r="P59" i="8"/>
  <c r="O59" i="8"/>
  <c r="N59" i="8"/>
  <c r="L59" i="8"/>
  <c r="K59" i="8"/>
  <c r="J59" i="8"/>
  <c r="I59" i="8"/>
  <c r="H59" i="8"/>
  <c r="G59" i="8"/>
  <c r="F59" i="8"/>
  <c r="E59" i="8"/>
  <c r="AD58" i="8"/>
  <c r="AC58" i="8"/>
  <c r="AB58" i="8"/>
  <c r="AA58" i="8"/>
  <c r="Z58" i="8"/>
  <c r="Y58" i="8"/>
  <c r="X58" i="8"/>
  <c r="W58" i="8"/>
  <c r="U58" i="8"/>
  <c r="T58" i="8"/>
  <c r="S58" i="8"/>
  <c r="R58" i="8"/>
  <c r="Q58" i="8"/>
  <c r="P58" i="8"/>
  <c r="O58" i="8"/>
  <c r="N58" i="8"/>
  <c r="L58" i="8"/>
  <c r="K58" i="8"/>
  <c r="J58" i="8"/>
  <c r="I58" i="8"/>
  <c r="H58" i="8"/>
  <c r="G58" i="8"/>
  <c r="F58" i="8"/>
  <c r="E58" i="8"/>
  <c r="AD57" i="8"/>
  <c r="AC57" i="8"/>
  <c r="AB57" i="8"/>
  <c r="AA57" i="8"/>
  <c r="Z57" i="8"/>
  <c r="Y57" i="8"/>
  <c r="X57" i="8"/>
  <c r="W57" i="8"/>
  <c r="U57" i="8"/>
  <c r="T57" i="8"/>
  <c r="S57" i="8"/>
  <c r="R57" i="8"/>
  <c r="Q57" i="8"/>
  <c r="P57" i="8"/>
  <c r="O57" i="8"/>
  <c r="N57" i="8"/>
  <c r="L57" i="8"/>
  <c r="K57" i="8"/>
  <c r="J57" i="8"/>
  <c r="I57" i="8"/>
  <c r="H57" i="8"/>
  <c r="G57" i="8"/>
  <c r="F57" i="8"/>
  <c r="E57" i="8"/>
  <c r="AD56" i="8"/>
  <c r="AC56" i="8"/>
  <c r="AB56" i="8"/>
  <c r="AA56" i="8"/>
  <c r="Z56" i="8"/>
  <c r="Y56" i="8"/>
  <c r="X56" i="8"/>
  <c r="W56" i="8"/>
  <c r="U56" i="8"/>
  <c r="T56" i="8"/>
  <c r="S56" i="8"/>
  <c r="R56" i="8"/>
  <c r="Q56" i="8"/>
  <c r="P56" i="8"/>
  <c r="O56" i="8"/>
  <c r="N56" i="8"/>
  <c r="L56" i="8"/>
  <c r="K56" i="8"/>
  <c r="J56" i="8"/>
  <c r="I56" i="8"/>
  <c r="H56" i="8"/>
  <c r="G56" i="8"/>
  <c r="F56" i="8"/>
  <c r="E56" i="8"/>
  <c r="AD55" i="8"/>
  <c r="AC55" i="8"/>
  <c r="AB55" i="8"/>
  <c r="AA55" i="8"/>
  <c r="Z55" i="8"/>
  <c r="Y55" i="8"/>
  <c r="X55" i="8"/>
  <c r="W55" i="8"/>
  <c r="U55" i="8"/>
  <c r="T55" i="8"/>
  <c r="S55" i="8"/>
  <c r="R55" i="8"/>
  <c r="Q55" i="8"/>
  <c r="P55" i="8"/>
  <c r="O55" i="8"/>
  <c r="N55" i="8"/>
  <c r="L55" i="8"/>
  <c r="K55" i="8"/>
  <c r="J55" i="8"/>
  <c r="I55" i="8"/>
  <c r="H55" i="8"/>
  <c r="G55" i="8"/>
  <c r="F55" i="8"/>
  <c r="E55" i="8"/>
  <c r="AD54" i="8"/>
  <c r="AC54" i="8"/>
  <c r="AB54" i="8"/>
  <c r="AA54" i="8"/>
  <c r="Z54" i="8"/>
  <c r="Y54" i="8"/>
  <c r="X54" i="8"/>
  <c r="W54" i="8"/>
  <c r="U54" i="8"/>
  <c r="T54" i="8"/>
  <c r="S54" i="8"/>
  <c r="R54" i="8"/>
  <c r="Q54" i="8"/>
  <c r="P54" i="8"/>
  <c r="O54" i="8"/>
  <c r="N54" i="8"/>
  <c r="L54" i="8"/>
  <c r="K54" i="8"/>
  <c r="J54" i="8"/>
  <c r="I54" i="8"/>
  <c r="H54" i="8"/>
  <c r="G54" i="8"/>
  <c r="F54" i="8"/>
  <c r="E54" i="8"/>
  <c r="AD53" i="8"/>
  <c r="AD69" i="8" s="1"/>
  <c r="AC53" i="8"/>
  <c r="AC69" i="8" s="1"/>
  <c r="AB53" i="8"/>
  <c r="AA53" i="8"/>
  <c r="AA69" i="8" s="1"/>
  <c r="Z53" i="8"/>
  <c r="Z69" i="8" s="1"/>
  <c r="Y53" i="8"/>
  <c r="Y69" i="8" s="1"/>
  <c r="X53" i="8"/>
  <c r="W53" i="8"/>
  <c r="U53" i="8"/>
  <c r="T53" i="8"/>
  <c r="S53" i="8"/>
  <c r="R53" i="8"/>
  <c r="Q53" i="8"/>
  <c r="Q69" i="8" s="1"/>
  <c r="P53" i="8"/>
  <c r="P69" i="8" s="1"/>
  <c r="O53" i="8"/>
  <c r="O69" i="8" s="1"/>
  <c r="N53" i="8"/>
  <c r="N69" i="8" s="1"/>
  <c r="L53" i="8"/>
  <c r="K53" i="8"/>
  <c r="J53" i="8"/>
  <c r="I53" i="8"/>
  <c r="I69" i="8" s="1"/>
  <c r="H53" i="8"/>
  <c r="H69" i="8" s="1"/>
  <c r="G53" i="8"/>
  <c r="G69" i="8" s="1"/>
  <c r="F53" i="8"/>
  <c r="E53" i="8"/>
  <c r="E69" i="8" s="1"/>
  <c r="G46" i="8"/>
  <c r="F46" i="8"/>
  <c r="E46" i="8"/>
  <c r="G45" i="8"/>
  <c r="F45" i="8"/>
  <c r="E45" i="8"/>
  <c r="D45" i="8"/>
  <c r="G44" i="8"/>
  <c r="F44" i="8"/>
  <c r="E44" i="8"/>
  <c r="D44" i="8"/>
  <c r="G43" i="8"/>
  <c r="F43" i="8"/>
  <c r="E43" i="8"/>
  <c r="D43" i="8"/>
  <c r="R41" i="8"/>
  <c r="Q41" i="8"/>
  <c r="P41" i="8"/>
  <c r="O41" i="8"/>
  <c r="N41" i="8"/>
  <c r="M41" i="8"/>
  <c r="G42" i="8"/>
  <c r="F42" i="8"/>
  <c r="E42" i="8"/>
  <c r="D42" i="8"/>
  <c r="R40" i="8"/>
  <c r="Q40" i="8"/>
  <c r="P40" i="8"/>
  <c r="O40" i="8"/>
  <c r="N40" i="8"/>
  <c r="M40" i="8"/>
  <c r="G41" i="8"/>
  <c r="F41" i="8"/>
  <c r="E41" i="8"/>
  <c r="D41" i="8"/>
  <c r="R39" i="8"/>
  <c r="Q39" i="8"/>
  <c r="P39" i="8"/>
  <c r="O39" i="8"/>
  <c r="N39" i="8"/>
  <c r="M39" i="8"/>
  <c r="G40" i="8"/>
  <c r="F40" i="8"/>
  <c r="E40" i="8"/>
  <c r="D40" i="8"/>
  <c r="R38" i="8"/>
  <c r="Q38" i="8"/>
  <c r="P38" i="8"/>
  <c r="O38" i="8"/>
  <c r="N38" i="8"/>
  <c r="M38" i="8"/>
  <c r="R37" i="8"/>
  <c r="Q37" i="8"/>
  <c r="P37" i="8"/>
  <c r="O37" i="8"/>
  <c r="N37" i="8"/>
  <c r="M37" i="8"/>
  <c r="R36" i="8"/>
  <c r="Q36" i="8"/>
  <c r="P36" i="8"/>
  <c r="O36" i="8"/>
  <c r="N36" i="8"/>
  <c r="M36" i="8"/>
  <c r="R35" i="8"/>
  <c r="Q35" i="8"/>
  <c r="P35" i="8"/>
  <c r="O35" i="8"/>
  <c r="N35" i="8"/>
  <c r="M35" i="8"/>
  <c r="R34" i="8"/>
  <c r="Q34" i="8"/>
  <c r="P34" i="8"/>
  <c r="O34" i="8"/>
  <c r="N34" i="8"/>
  <c r="M34" i="8"/>
  <c r="R33" i="8"/>
  <c r="Q33" i="8"/>
  <c r="P33" i="8"/>
  <c r="O33" i="8"/>
  <c r="N33" i="8"/>
  <c r="M33" i="8"/>
  <c r="R32" i="8"/>
  <c r="Q32" i="8"/>
  <c r="P32" i="8"/>
  <c r="O32" i="8"/>
  <c r="N32" i="8"/>
  <c r="M32" i="8"/>
  <c r="I32" i="8"/>
  <c r="H32" i="8"/>
  <c r="G32" i="8"/>
  <c r="F32" i="8"/>
  <c r="E32" i="8"/>
  <c r="I31" i="8"/>
  <c r="H31" i="8"/>
  <c r="G31" i="8"/>
  <c r="F31" i="8"/>
  <c r="E31" i="8"/>
  <c r="D31" i="8"/>
  <c r="I30" i="8"/>
  <c r="H30" i="8"/>
  <c r="G30" i="8"/>
  <c r="F30" i="8"/>
  <c r="E30" i="8"/>
  <c r="D30" i="8"/>
  <c r="I29" i="8"/>
  <c r="H29" i="8"/>
  <c r="G29" i="8"/>
  <c r="F29" i="8"/>
  <c r="E29" i="8"/>
  <c r="D29" i="8"/>
  <c r="I28" i="8"/>
  <c r="H28" i="8"/>
  <c r="G28" i="8"/>
  <c r="F28" i="8"/>
  <c r="E28" i="8"/>
  <c r="D28" i="8"/>
  <c r="I27" i="8"/>
  <c r="H27" i="8"/>
  <c r="G27" i="8"/>
  <c r="F27" i="8"/>
  <c r="E27" i="8"/>
  <c r="D27" i="8"/>
  <c r="I26" i="8"/>
  <c r="H26" i="8"/>
  <c r="G26" i="8"/>
  <c r="F26" i="8"/>
  <c r="E26" i="8"/>
  <c r="D26" i="8"/>
  <c r="I25" i="8"/>
  <c r="H25" i="8"/>
  <c r="G25" i="8"/>
  <c r="F25" i="8"/>
  <c r="E25" i="8"/>
  <c r="D25" i="8"/>
  <c r="R24" i="8"/>
  <c r="Q24" i="8"/>
  <c r="P24" i="8"/>
  <c r="O24" i="8"/>
  <c r="N24" i="8"/>
  <c r="M24" i="8"/>
  <c r="I24" i="8"/>
  <c r="H24" i="8"/>
  <c r="G24" i="8"/>
  <c r="F24" i="8"/>
  <c r="E24" i="8"/>
  <c r="D24" i="8"/>
  <c r="R23" i="8"/>
  <c r="Q23" i="8"/>
  <c r="P23" i="8"/>
  <c r="O23" i="8"/>
  <c r="N23" i="8"/>
  <c r="M23" i="8"/>
  <c r="I23" i="8"/>
  <c r="H23" i="8"/>
  <c r="G23" i="8"/>
  <c r="F23" i="8"/>
  <c r="E23" i="8"/>
  <c r="D23" i="8"/>
  <c r="R22" i="8"/>
  <c r="Q22" i="8"/>
  <c r="P22" i="8"/>
  <c r="O22" i="8"/>
  <c r="N22" i="8"/>
  <c r="M22" i="8"/>
  <c r="I22" i="8"/>
  <c r="H22" i="8"/>
  <c r="G22" i="8"/>
  <c r="F22" i="8"/>
  <c r="E22" i="8"/>
  <c r="D22" i="8"/>
  <c r="R21" i="8"/>
  <c r="Q21" i="8"/>
  <c r="P21" i="8"/>
  <c r="O21" i="8"/>
  <c r="N21" i="8"/>
  <c r="M21" i="8"/>
  <c r="I21" i="8"/>
  <c r="H21" i="8"/>
  <c r="G21" i="8"/>
  <c r="F21" i="8"/>
  <c r="E21" i="8"/>
  <c r="D21" i="8"/>
  <c r="R20" i="8"/>
  <c r="Q20" i="8"/>
  <c r="P20" i="8"/>
  <c r="O20" i="8"/>
  <c r="N20" i="8"/>
  <c r="M20" i="8"/>
  <c r="I20" i="8"/>
  <c r="H20" i="8"/>
  <c r="G20" i="8"/>
  <c r="F20" i="8"/>
  <c r="E20" i="8"/>
  <c r="D20" i="8"/>
  <c r="R19" i="8"/>
  <c r="Q19" i="8"/>
  <c r="P19" i="8"/>
  <c r="O19" i="8"/>
  <c r="N19" i="8"/>
  <c r="M19" i="8"/>
  <c r="I19" i="8"/>
  <c r="H19" i="8"/>
  <c r="G19" i="8"/>
  <c r="F19" i="8"/>
  <c r="E19" i="8"/>
  <c r="D19" i="8"/>
  <c r="R18" i="8"/>
  <c r="Q18" i="8"/>
  <c r="P18" i="8"/>
  <c r="O18" i="8"/>
  <c r="N18" i="8"/>
  <c r="M18" i="8"/>
  <c r="I18" i="8"/>
  <c r="H18" i="8"/>
  <c r="G18" i="8"/>
  <c r="F18" i="8"/>
  <c r="E18" i="8"/>
  <c r="D18" i="8"/>
  <c r="R17" i="8"/>
  <c r="Q17" i="8"/>
  <c r="P17" i="8"/>
  <c r="O17" i="8"/>
  <c r="N17" i="8"/>
  <c r="M17" i="8"/>
  <c r="I17" i="8"/>
  <c r="H17" i="8"/>
  <c r="G17" i="8"/>
  <c r="F17" i="8"/>
  <c r="E17" i="8"/>
  <c r="D17" i="8"/>
  <c r="R16" i="8"/>
  <c r="Q16" i="8"/>
  <c r="P16" i="8"/>
  <c r="O16" i="8"/>
  <c r="N16" i="8"/>
  <c r="M16" i="8"/>
  <c r="I16" i="8"/>
  <c r="H16" i="8"/>
  <c r="G16" i="8"/>
  <c r="F16" i="8"/>
  <c r="E16" i="8"/>
  <c r="D16" i="8"/>
  <c r="R15" i="8"/>
  <c r="Q15" i="8"/>
  <c r="P15" i="8"/>
  <c r="O15" i="8"/>
  <c r="N15" i="8"/>
  <c r="M15" i="8"/>
  <c r="I15" i="8"/>
  <c r="H15" i="8"/>
  <c r="G15" i="8"/>
  <c r="F15" i="8"/>
  <c r="E15" i="8"/>
  <c r="D15" i="8"/>
  <c r="L59" i="10" l="1"/>
  <c r="T59" i="10"/>
  <c r="AB59" i="10"/>
  <c r="J59" i="10"/>
  <c r="R59" i="10"/>
  <c r="Z59" i="10"/>
  <c r="D41" i="9"/>
  <c r="D36" i="12"/>
  <c r="E36" i="12"/>
  <c r="F36" i="12"/>
  <c r="W69" i="8"/>
  <c r="R69" i="8"/>
  <c r="T69" i="8"/>
  <c r="L69" i="8"/>
  <c r="K69" i="8"/>
  <c r="X69" i="8"/>
  <c r="S69" i="8"/>
  <c r="AB69" i="8"/>
  <c r="F69" i="8"/>
  <c r="J69" i="8"/>
  <c r="U69" i="8"/>
  <c r="G48" i="8"/>
  <c r="P50" i="10"/>
  <c r="AB50" i="10"/>
  <c r="I59" i="10"/>
  <c r="Q59" i="10"/>
  <c r="Y59" i="10"/>
  <c r="K59" i="10"/>
  <c r="S59" i="10"/>
  <c r="AA59" i="10"/>
  <c r="U50" i="10"/>
  <c r="D48" i="8"/>
  <c r="E48" i="8"/>
  <c r="F48" i="8"/>
  <c r="L82" i="12"/>
  <c r="U82" i="12"/>
  <c r="AC82" i="12"/>
  <c r="M103" i="12"/>
  <c r="I33" i="9"/>
  <c r="U45" i="9"/>
  <c r="AC45" i="9"/>
  <c r="M6" i="11"/>
  <c r="D34" i="2"/>
  <c r="V3" i="11"/>
  <c r="Z11" i="11"/>
  <c r="N6" i="11"/>
  <c r="Q3" i="11"/>
  <c r="Q6" i="11"/>
  <c r="W3" i="11"/>
  <c r="M7" i="11"/>
  <c r="Q11" i="11"/>
  <c r="N7" i="11"/>
  <c r="R11" i="11"/>
  <c r="V7" i="11"/>
  <c r="W7" i="11"/>
  <c r="K82" i="12"/>
  <c r="T82" i="12"/>
  <c r="AB82" i="12"/>
  <c r="K103" i="12"/>
  <c r="AD18" i="9"/>
  <c r="AF18" i="9" s="1"/>
  <c r="H45" i="2"/>
  <c r="U2" i="11"/>
  <c r="Y6" i="11"/>
  <c r="R10" i="11"/>
  <c r="M3" i="11"/>
  <c r="N3" i="11"/>
  <c r="O4" i="11"/>
  <c r="Z6" i="11"/>
  <c r="M9" i="11"/>
  <c r="U10" i="11"/>
  <c r="R12" i="11"/>
  <c r="P17" i="11"/>
  <c r="Z3" i="11"/>
  <c r="Q10" i="11"/>
  <c r="O3" i="11"/>
  <c r="R4" i="11"/>
  <c r="X9" i="11"/>
  <c r="W10" i="11"/>
  <c r="X12" i="11"/>
  <c r="Y10" i="11"/>
  <c r="P18" i="11"/>
  <c r="R3" i="11"/>
  <c r="L10" i="11"/>
  <c r="P13" i="11"/>
  <c r="R18" i="11"/>
  <c r="M10" i="11"/>
  <c r="P10" i="11"/>
  <c r="AH46" i="12"/>
  <c r="L50" i="12"/>
  <c r="AH54" i="12"/>
  <c r="L58" i="12"/>
  <c r="T91" i="12"/>
  <c r="T95" i="12"/>
  <c r="T99" i="12"/>
  <c r="AI79" i="2"/>
  <c r="AI87" i="2"/>
  <c r="AI91" i="2"/>
  <c r="P5" i="11"/>
  <c r="R6" i="11"/>
  <c r="L14" i="11"/>
  <c r="W14" i="11"/>
  <c r="Q17" i="11"/>
  <c r="Y18" i="11"/>
  <c r="M2" i="11"/>
  <c r="Y2" i="11"/>
  <c r="N2" i="11"/>
  <c r="Z2" i="11"/>
  <c r="O9" i="11"/>
  <c r="P2" i="11"/>
  <c r="X3" i="11"/>
  <c r="Y5" i="11"/>
  <c r="U6" i="11"/>
  <c r="R7" i="11"/>
  <c r="P9" i="11"/>
  <c r="N10" i="11"/>
  <c r="Z10" i="11"/>
  <c r="O12" i="11"/>
  <c r="M14" i="11"/>
  <c r="Y14" i="11"/>
  <c r="X17" i="11"/>
  <c r="Z18" i="11"/>
  <c r="Q2" i="11"/>
  <c r="V6" i="11"/>
  <c r="U9" i="11"/>
  <c r="N14" i="11"/>
  <c r="Z14" i="11"/>
  <c r="Y17" i="11"/>
  <c r="R2" i="11"/>
  <c r="L6" i="11"/>
  <c r="W6" i="11"/>
  <c r="V9" i="11"/>
  <c r="N11" i="11"/>
  <c r="P14" i="11"/>
  <c r="Z17" i="11"/>
  <c r="Q19" i="11"/>
  <c r="Q14" i="11"/>
  <c r="Z19" i="11"/>
  <c r="Y9" i="11"/>
  <c r="R14" i="11"/>
  <c r="V2" i="11"/>
  <c r="L2" i="11"/>
  <c r="W2" i="11"/>
  <c r="X4" i="11"/>
  <c r="P6" i="11"/>
  <c r="L9" i="11"/>
  <c r="V10" i="11"/>
  <c r="W11" i="11"/>
  <c r="Y13" i="11"/>
  <c r="U14" i="11"/>
  <c r="O17" i="11"/>
  <c r="Q18" i="11"/>
  <c r="R20" i="11"/>
  <c r="V14" i="11"/>
  <c r="AK118" i="8"/>
  <c r="I90" i="8"/>
  <c r="R90" i="8"/>
  <c r="Z90" i="8"/>
  <c r="AI90" i="8"/>
  <c r="AN77" i="8"/>
  <c r="P78" i="8"/>
  <c r="O50" i="2"/>
  <c r="X50" i="2"/>
  <c r="AI50" i="2"/>
  <c r="E33" i="9"/>
  <c r="Y45" i="9"/>
  <c r="F41" i="9"/>
  <c r="M59" i="7"/>
  <c r="AI63" i="2"/>
  <c r="F33" i="9"/>
  <c r="Z45" i="9"/>
  <c r="G41" i="9"/>
  <c r="AI58" i="2"/>
  <c r="AK122" i="8"/>
  <c r="O60" i="2"/>
  <c r="O61" i="2"/>
  <c r="O62" i="2"/>
  <c r="O63" i="2"/>
  <c r="O64" i="2"/>
  <c r="AH99" i="2"/>
  <c r="G88" i="2"/>
  <c r="P88" i="2"/>
  <c r="X88" i="2"/>
  <c r="Z78" i="2"/>
  <c r="O80" i="2"/>
  <c r="Z86" i="2"/>
  <c r="H107" i="2"/>
  <c r="Q107" i="2"/>
  <c r="M98" i="2"/>
  <c r="V98" i="2"/>
  <c r="M99" i="2"/>
  <c r="V99" i="2"/>
  <c r="M100" i="2"/>
  <c r="V100" i="2"/>
  <c r="M101" i="2"/>
  <c r="V101" i="2"/>
  <c r="M102" i="2"/>
  <c r="V102" i="2"/>
  <c r="M103" i="2"/>
  <c r="V103" i="2"/>
  <c r="M104" i="2"/>
  <c r="V104" i="2"/>
  <c r="M105" i="2"/>
  <c r="V105" i="2"/>
  <c r="M106" i="2"/>
  <c r="V106" i="2"/>
  <c r="M61" i="12"/>
  <c r="U61" i="12"/>
  <c r="AD61" i="12"/>
  <c r="Z50" i="12"/>
  <c r="Z53" i="12"/>
  <c r="Z58" i="12"/>
  <c r="AF67" i="12"/>
  <c r="AF71" i="12"/>
  <c r="AF75" i="12"/>
  <c r="AF79" i="12"/>
  <c r="V45" i="9"/>
  <c r="AE45" i="9"/>
  <c r="AD24" i="9"/>
  <c r="AF24" i="9" s="1"/>
  <c r="AD25" i="9"/>
  <c r="AF25" i="9" s="1"/>
  <c r="AD28" i="9"/>
  <c r="AF28" i="9" s="1"/>
  <c r="AD29" i="9"/>
  <c r="AF29" i="9" s="1"/>
  <c r="AK96" i="8"/>
  <c r="AK104" i="8"/>
  <c r="M54" i="8"/>
  <c r="V54" i="8"/>
  <c r="AE54" i="8"/>
  <c r="M55" i="8"/>
  <c r="V55" i="8"/>
  <c r="AE55" i="8"/>
  <c r="M56" i="8"/>
  <c r="V56" i="8"/>
  <c r="AE56" i="8"/>
  <c r="M57" i="8"/>
  <c r="V57" i="8"/>
  <c r="AE57" i="8"/>
  <c r="M58" i="8"/>
  <c r="V58" i="8"/>
  <c r="AE58" i="8"/>
  <c r="M59" i="8"/>
  <c r="V59" i="8"/>
  <c r="AK109" i="8"/>
  <c r="AK112" i="8"/>
  <c r="D35" i="8"/>
  <c r="AK100" i="8"/>
  <c r="AK108" i="8"/>
  <c r="AK116" i="8"/>
  <c r="P75" i="8"/>
  <c r="AB75" i="8"/>
  <c r="AB80" i="8"/>
  <c r="AN80" i="8"/>
  <c r="P83" i="8"/>
  <c r="AB83" i="8"/>
  <c r="AN85" i="8"/>
  <c r="P86" i="8"/>
  <c r="AB88" i="8"/>
  <c r="AN88" i="8"/>
  <c r="AK102" i="8"/>
  <c r="R15" i="11"/>
  <c r="P4" i="11"/>
  <c r="Y4" i="11"/>
  <c r="Q5" i="11"/>
  <c r="Z5" i="11"/>
  <c r="S7" i="11"/>
  <c r="L8" i="11"/>
  <c r="U8" i="11"/>
  <c r="O11" i="11"/>
  <c r="X11" i="11"/>
  <c r="P12" i="11"/>
  <c r="Y12" i="11"/>
  <c r="Q13" i="11"/>
  <c r="Z13" i="11"/>
  <c r="O2" i="11"/>
  <c r="X2" i="11"/>
  <c r="P3" i="11"/>
  <c r="Y3" i="11"/>
  <c r="Q4" i="11"/>
  <c r="Z4" i="11"/>
  <c r="R5" i="11"/>
  <c r="S6" i="11"/>
  <c r="L7" i="11"/>
  <c r="U7" i="11"/>
  <c r="M8" i="11"/>
  <c r="V8" i="11"/>
  <c r="N9" i="11"/>
  <c r="W9" i="11"/>
  <c r="O10" i="11"/>
  <c r="X10" i="11"/>
  <c r="P11" i="11"/>
  <c r="Y11" i="11"/>
  <c r="Q12" i="11"/>
  <c r="Z12" i="11"/>
  <c r="R13" i="11"/>
  <c r="S14" i="11"/>
  <c r="L15" i="11"/>
  <c r="U15" i="11"/>
  <c r="M16" i="11"/>
  <c r="V16" i="11"/>
  <c r="N17" i="11"/>
  <c r="W17" i="11"/>
  <c r="O18" i="11"/>
  <c r="X18" i="11"/>
  <c r="P19" i="11"/>
  <c r="Y19" i="11"/>
  <c r="Q20" i="11"/>
  <c r="Z20" i="11"/>
  <c r="R21" i="11"/>
  <c r="S5" i="11"/>
  <c r="N8" i="11"/>
  <c r="W8" i="11"/>
  <c r="S13" i="11"/>
  <c r="M15" i="11"/>
  <c r="V15" i="11"/>
  <c r="N16" i="11"/>
  <c r="W16" i="11"/>
  <c r="S21" i="11"/>
  <c r="S8" i="11"/>
  <c r="S4" i="11"/>
  <c r="U5" i="11"/>
  <c r="S12" i="11"/>
  <c r="L13" i="11"/>
  <c r="U13" i="11"/>
  <c r="N15" i="11"/>
  <c r="W15" i="11"/>
  <c r="O16" i="11"/>
  <c r="X16" i="11"/>
  <c r="R19" i="11"/>
  <c r="S20" i="11"/>
  <c r="L21" i="11"/>
  <c r="U21" i="11"/>
  <c r="L5" i="11"/>
  <c r="O8" i="11"/>
  <c r="X8" i="11"/>
  <c r="S11" i="11"/>
  <c r="L12" i="11"/>
  <c r="U12" i="11"/>
  <c r="M13" i="11"/>
  <c r="V13" i="11"/>
  <c r="O15" i="11"/>
  <c r="X15" i="11"/>
  <c r="P16" i="11"/>
  <c r="Y16" i="11"/>
  <c r="S19" i="11"/>
  <c r="L20" i="11"/>
  <c r="U20" i="11"/>
  <c r="M21" i="11"/>
  <c r="V21" i="11"/>
  <c r="S3" i="11"/>
  <c r="L4" i="11"/>
  <c r="U4" i="11"/>
  <c r="M5" i="11"/>
  <c r="V5" i="11"/>
  <c r="O7" i="11"/>
  <c r="X7" i="11"/>
  <c r="P8" i="11"/>
  <c r="Y8" i="11"/>
  <c r="Q9" i="11"/>
  <c r="Z9" i="11"/>
  <c r="L3" i="11"/>
  <c r="M4" i="11"/>
  <c r="V4" i="11"/>
  <c r="N5" i="11"/>
  <c r="W5" i="11"/>
  <c r="O6" i="11"/>
  <c r="P7" i="11"/>
  <c r="Y7" i="11"/>
  <c r="Q8" i="11"/>
  <c r="Z8" i="11"/>
  <c r="R9" i="11"/>
  <c r="L11" i="11"/>
  <c r="U11" i="11"/>
  <c r="M12" i="11"/>
  <c r="V12" i="11"/>
  <c r="N13" i="11"/>
  <c r="W13" i="11"/>
  <c r="O14" i="11"/>
  <c r="P15" i="11"/>
  <c r="Y15" i="11"/>
  <c r="Q16" i="11"/>
  <c r="Z16" i="11"/>
  <c r="R17" i="11"/>
  <c r="S18" i="11"/>
  <c r="L19" i="11"/>
  <c r="U19" i="11"/>
  <c r="M20" i="11"/>
  <c r="V20" i="11"/>
  <c r="N21" i="11"/>
  <c r="W21" i="11"/>
  <c r="N4" i="11"/>
  <c r="O5" i="11"/>
  <c r="Q7" i="11"/>
  <c r="M11" i="11"/>
  <c r="N12" i="11"/>
  <c r="O13" i="11"/>
  <c r="Q15" i="11"/>
  <c r="Z15" i="11"/>
  <c r="R16" i="11"/>
  <c r="S17" i="11"/>
  <c r="L18" i="11"/>
  <c r="U18" i="11"/>
  <c r="M19" i="11"/>
  <c r="V19" i="11"/>
  <c r="N20" i="11"/>
  <c r="W20" i="11"/>
  <c r="O21" i="11"/>
  <c r="X21" i="11"/>
  <c r="S16" i="11"/>
  <c r="L17" i="11"/>
  <c r="U17" i="11"/>
  <c r="M18" i="11"/>
  <c r="V18" i="11"/>
  <c r="N19" i="11"/>
  <c r="W19" i="11"/>
  <c r="O20" i="11"/>
  <c r="X20" i="11"/>
  <c r="P21" i="11"/>
  <c r="Y21" i="11"/>
  <c r="L16" i="11"/>
  <c r="M17" i="11"/>
  <c r="N18" i="11"/>
  <c r="O19" i="11"/>
  <c r="P20" i="11"/>
  <c r="Q21" i="11"/>
  <c r="G90" i="8"/>
  <c r="O90" i="8"/>
  <c r="X90" i="8"/>
  <c r="AG90" i="8"/>
  <c r="AN75" i="8"/>
  <c r="P76" i="8"/>
  <c r="AB78" i="8"/>
  <c r="AN78" i="8"/>
  <c r="P81" i="8"/>
  <c r="AB81" i="8"/>
  <c r="AN83" i="8"/>
  <c r="P84" i="8"/>
  <c r="AB86" i="8"/>
  <c r="AN86" i="8"/>
  <c r="P89" i="8"/>
  <c r="AB89" i="8"/>
  <c r="AH123" i="8"/>
  <c r="AK103" i="8"/>
  <c r="AK120" i="8"/>
  <c r="E35" i="8"/>
  <c r="H90" i="8"/>
  <c r="Q90" i="8"/>
  <c r="Y90" i="8"/>
  <c r="AH90" i="8"/>
  <c r="AI123" i="8"/>
  <c r="AK97" i="8"/>
  <c r="AK106" i="8"/>
  <c r="AK111" i="8"/>
  <c r="AK117" i="8"/>
  <c r="AJ123" i="8"/>
  <c r="F34" i="2"/>
  <c r="AK119" i="8"/>
  <c r="G34" i="2"/>
  <c r="H35" i="8"/>
  <c r="K90" i="8"/>
  <c r="T90" i="8"/>
  <c r="AC90" i="8"/>
  <c r="AK90" i="8"/>
  <c r="P77" i="8"/>
  <c r="AB77" i="8"/>
  <c r="AN79" i="8"/>
  <c r="P80" i="8"/>
  <c r="AB82" i="8"/>
  <c r="AN82" i="8"/>
  <c r="P85" i="8"/>
  <c r="AB85" i="8"/>
  <c r="AN87" i="8"/>
  <c r="P88" i="8"/>
  <c r="AK113" i="8"/>
  <c r="G35" i="8"/>
  <c r="I35" i="8"/>
  <c r="L90" i="8"/>
  <c r="U90" i="8"/>
  <c r="AD90" i="8"/>
  <c r="AL90" i="8"/>
  <c r="AK107" i="8"/>
  <c r="J65" i="2"/>
  <c r="S65" i="2"/>
  <c r="AI55" i="2"/>
  <c r="AI62" i="2"/>
  <c r="AI64" i="2"/>
  <c r="AF99" i="2"/>
  <c r="J88" i="2"/>
  <c r="S88" i="2"/>
  <c r="AI74" i="2"/>
  <c r="Z75" i="2"/>
  <c r="O77" i="2"/>
  <c r="AI82" i="2"/>
  <c r="Z83" i="2"/>
  <c r="O85" i="2"/>
  <c r="AI90" i="2"/>
  <c r="K107" i="2"/>
  <c r="T107" i="2"/>
  <c r="M97" i="2"/>
  <c r="V97" i="2"/>
  <c r="AI98" i="2"/>
  <c r="F25" i="12"/>
  <c r="H36" i="12"/>
  <c r="G61" i="12"/>
  <c r="P61" i="12"/>
  <c r="X61" i="12"/>
  <c r="AG61" i="12"/>
  <c r="Z47" i="12"/>
  <c r="AH47" i="12"/>
  <c r="L51" i="12"/>
  <c r="AH52" i="12"/>
  <c r="Z55" i="12"/>
  <c r="AH55" i="12"/>
  <c r="L59" i="12"/>
  <c r="AH60" i="12"/>
  <c r="G82" i="12"/>
  <c r="O82" i="12"/>
  <c r="X82" i="12"/>
  <c r="R67" i="12"/>
  <c r="AF70" i="12"/>
  <c r="R71" i="12"/>
  <c r="AF74" i="12"/>
  <c r="R75" i="12"/>
  <c r="AF78" i="12"/>
  <c r="R79" i="12"/>
  <c r="G103" i="12"/>
  <c r="P103" i="12"/>
  <c r="L90" i="12"/>
  <c r="L94" i="12"/>
  <c r="L98" i="12"/>
  <c r="L102" i="12"/>
  <c r="AD20" i="9"/>
  <c r="AF20" i="9" s="1"/>
  <c r="AD34" i="9"/>
  <c r="AF34" i="9" s="1"/>
  <c r="AD44" i="9"/>
  <c r="AF44" i="9" s="1"/>
  <c r="AI71" i="2"/>
  <c r="AG99" i="2"/>
  <c r="K88" i="2"/>
  <c r="T88" i="2"/>
  <c r="Z74" i="2"/>
  <c r="AI75" i="2"/>
  <c r="O76" i="2"/>
  <c r="Z82" i="2"/>
  <c r="AI83" i="2"/>
  <c r="O84" i="2"/>
  <c r="L107" i="2"/>
  <c r="U107" i="2"/>
  <c r="M94" i="2"/>
  <c r="V94" i="2"/>
  <c r="AI95" i="2"/>
  <c r="H61" i="12"/>
  <c r="Q61" i="12"/>
  <c r="Y61" i="12"/>
  <c r="L46" i="12"/>
  <c r="Z46" i="12"/>
  <c r="Z49" i="12"/>
  <c r="AH50" i="12"/>
  <c r="L54" i="12"/>
  <c r="Z54" i="12"/>
  <c r="Z57" i="12"/>
  <c r="AH58" i="12"/>
  <c r="H82" i="12"/>
  <c r="P82" i="12"/>
  <c r="Y82" i="12"/>
  <c r="AF69" i="12"/>
  <c r="AF73" i="12"/>
  <c r="AF77" i="12"/>
  <c r="AF81" i="12"/>
  <c r="H103" i="12"/>
  <c r="Q103" i="12"/>
  <c r="T89" i="12"/>
  <c r="T93" i="12"/>
  <c r="T97" i="12"/>
  <c r="T101" i="12"/>
  <c r="AD19" i="9"/>
  <c r="AF19" i="9" s="1"/>
  <c r="AD31" i="9"/>
  <c r="AF31" i="9" s="1"/>
  <c r="AD39" i="9"/>
  <c r="AF39" i="9" s="1"/>
  <c r="AD42" i="9"/>
  <c r="AF42" i="9" s="1"/>
  <c r="AE59" i="8"/>
  <c r="M60" i="8"/>
  <c r="V60" i="8"/>
  <c r="AE60" i="8"/>
  <c r="M61" i="8"/>
  <c r="V61" i="8"/>
  <c r="AE61" i="8"/>
  <c r="M62" i="8"/>
  <c r="V62" i="8"/>
  <c r="AE62" i="8"/>
  <c r="M63" i="8"/>
  <c r="V63" i="8"/>
  <c r="AE63" i="8"/>
  <c r="M64" i="8"/>
  <c r="V64" i="8"/>
  <c r="AE64" i="8"/>
  <c r="M65" i="8"/>
  <c r="V65" i="8"/>
  <c r="AE65" i="8"/>
  <c r="M66" i="8"/>
  <c r="V66" i="8"/>
  <c r="AE66" i="8"/>
  <c r="M67" i="8"/>
  <c r="V67" i="8"/>
  <c r="AE67" i="8"/>
  <c r="M68" i="8"/>
  <c r="V68" i="8"/>
  <c r="AE68" i="8"/>
  <c r="E90" i="8"/>
  <c r="M90" i="8"/>
  <c r="V90" i="8"/>
  <c r="AE90" i="8"/>
  <c r="AM90" i="8"/>
  <c r="AB76" i="8"/>
  <c r="AN76" i="8"/>
  <c r="P79" i="8"/>
  <c r="AB79" i="8"/>
  <c r="AN81" i="8"/>
  <c r="P82" i="8"/>
  <c r="AB84" i="8"/>
  <c r="AN84" i="8"/>
  <c r="P87" i="8"/>
  <c r="AB87" i="8"/>
  <c r="AN89" i="8"/>
  <c r="AK95" i="8"/>
  <c r="AK101" i="8"/>
  <c r="AK110" i="8"/>
  <c r="H34" i="2"/>
  <c r="L65" i="2"/>
  <c r="U65" i="2"/>
  <c r="AD65" i="2"/>
  <c r="AE99" i="2"/>
  <c r="L88" i="2"/>
  <c r="U88" i="2"/>
  <c r="AI76" i="2"/>
  <c r="Z77" i="2"/>
  <c r="O79" i="2"/>
  <c r="AI84" i="2"/>
  <c r="Z85" i="2"/>
  <c r="O87" i="2"/>
  <c r="E107" i="2"/>
  <c r="N107" i="2"/>
  <c r="AI92" i="2"/>
  <c r="H25" i="12"/>
  <c r="I61" i="12"/>
  <c r="R61" i="12"/>
  <c r="AA61" i="12"/>
  <c r="Z52" i="12"/>
  <c r="AH53" i="12"/>
  <c r="Z60" i="12"/>
  <c r="I82" i="12"/>
  <c r="Q82" i="12"/>
  <c r="Z82" i="12"/>
  <c r="I103" i="12"/>
  <c r="R103" i="12"/>
  <c r="L89" i="12"/>
  <c r="L93" i="12"/>
  <c r="L97" i="12"/>
  <c r="L101" i="12"/>
  <c r="G33" i="9"/>
  <c r="AA45" i="9"/>
  <c r="AD36" i="9"/>
  <c r="AF36" i="9" s="1"/>
  <c r="H41" i="9"/>
  <c r="F90" i="8"/>
  <c r="N90" i="8"/>
  <c r="W90" i="8"/>
  <c r="AF90" i="8"/>
  <c r="AG123" i="8"/>
  <c r="AK98" i="8"/>
  <c r="AK115" i="8"/>
  <c r="AK121" i="8"/>
  <c r="I34" i="2"/>
  <c r="E65" i="2"/>
  <c r="M65" i="2"/>
  <c r="V65" i="2"/>
  <c r="E88" i="2"/>
  <c r="M88" i="2"/>
  <c r="V88" i="2"/>
  <c r="Z76" i="2"/>
  <c r="AI77" i="2"/>
  <c r="O78" i="2"/>
  <c r="Z84" i="2"/>
  <c r="AI85" i="2"/>
  <c r="O86" i="2"/>
  <c r="AI89" i="2"/>
  <c r="F107" i="2"/>
  <c r="O107" i="2"/>
  <c r="M96" i="2"/>
  <c r="V96" i="2"/>
  <c r="AI97" i="2"/>
  <c r="I25" i="12"/>
  <c r="J61" i="12"/>
  <c r="S61" i="12"/>
  <c r="AB61" i="12"/>
  <c r="L49" i="12"/>
  <c r="L52" i="12"/>
  <c r="L57" i="12"/>
  <c r="L60" i="12"/>
  <c r="J82" i="12"/>
  <c r="S82" i="12"/>
  <c r="AA82" i="12"/>
  <c r="R68" i="12"/>
  <c r="R72" i="12"/>
  <c r="R76" i="12"/>
  <c r="R80" i="12"/>
  <c r="J103" i="12"/>
  <c r="S103" i="12"/>
  <c r="T88" i="12"/>
  <c r="T92" i="12"/>
  <c r="T96" i="12"/>
  <c r="T100" i="12"/>
  <c r="H33" i="9"/>
  <c r="T45" i="9"/>
  <c r="AB45" i="9"/>
  <c r="AD27" i="9"/>
  <c r="AF27" i="9" s="1"/>
  <c r="AD35" i="9"/>
  <c r="AF35" i="9" s="1"/>
  <c r="AD38" i="9"/>
  <c r="AF38" i="9" s="1"/>
  <c r="F65" i="2"/>
  <c r="N65" i="2"/>
  <c r="W65" i="2"/>
  <c r="O52" i="2"/>
  <c r="O53" i="2"/>
  <c r="O54" i="2"/>
  <c r="O55" i="2"/>
  <c r="O56" i="2"/>
  <c r="F88" i="2"/>
  <c r="N88" i="2"/>
  <c r="W88" i="2"/>
  <c r="O73" i="2"/>
  <c r="AI78" i="2"/>
  <c r="Z79" i="2"/>
  <c r="O81" i="2"/>
  <c r="AI86" i="2"/>
  <c r="Z87" i="2"/>
  <c r="G107" i="2"/>
  <c r="P107" i="2"/>
  <c r="M93" i="2"/>
  <c r="V93" i="2"/>
  <c r="AI94" i="2"/>
  <c r="K61" i="12"/>
  <c r="T61" i="12"/>
  <c r="AC61" i="12"/>
  <c r="L47" i="12"/>
  <c r="AH48" i="12"/>
  <c r="Z51" i="12"/>
  <c r="AH51" i="12"/>
  <c r="L55" i="12"/>
  <c r="AH56" i="12"/>
  <c r="Z59" i="12"/>
  <c r="AH59" i="12"/>
  <c r="AF68" i="12"/>
  <c r="R69" i="12"/>
  <c r="AF72" i="12"/>
  <c r="R73" i="12"/>
  <c r="AF76" i="12"/>
  <c r="R77" i="12"/>
  <c r="AF80" i="12"/>
  <c r="R81" i="12"/>
  <c r="L88" i="12"/>
  <c r="L92" i="12"/>
  <c r="L96" i="12"/>
  <c r="L100" i="12"/>
  <c r="AD26" i="9"/>
  <c r="AF26" i="9" s="1"/>
  <c r="AD37" i="9"/>
  <c r="AF37" i="9" s="1"/>
  <c r="H65" i="2"/>
  <c r="Q65" i="2"/>
  <c r="Z65" i="2"/>
  <c r="O51" i="2"/>
  <c r="X51" i="2"/>
  <c r="AI51" i="2"/>
  <c r="X52" i="2"/>
  <c r="AI52" i="2"/>
  <c r="X53" i="2"/>
  <c r="AI53" i="2"/>
  <c r="X54" i="2"/>
  <c r="X55" i="2"/>
  <c r="X56" i="2"/>
  <c r="O57" i="2"/>
  <c r="X57" i="2"/>
  <c r="O58" i="2"/>
  <c r="X58" i="2"/>
  <c r="AI72" i="2"/>
  <c r="H88" i="2"/>
  <c r="Q88" i="2"/>
  <c r="Y88" i="2"/>
  <c r="Z73" i="2"/>
  <c r="O75" i="2"/>
  <c r="AI80" i="2"/>
  <c r="Z81" i="2"/>
  <c r="O83" i="2"/>
  <c r="AI88" i="2"/>
  <c r="I107" i="2"/>
  <c r="R107" i="2"/>
  <c r="M95" i="2"/>
  <c r="V95" i="2"/>
  <c r="AI96" i="2"/>
  <c r="E61" i="12"/>
  <c r="N61" i="12"/>
  <c r="V61" i="12"/>
  <c r="AE61" i="12"/>
  <c r="Z48" i="12"/>
  <c r="AH49" i="12"/>
  <c r="Z56" i="12"/>
  <c r="AH57" i="12"/>
  <c r="E82" i="12"/>
  <c r="M82" i="12"/>
  <c r="V82" i="12"/>
  <c r="AD82" i="12"/>
  <c r="E103" i="12"/>
  <c r="N103" i="12"/>
  <c r="L91" i="12"/>
  <c r="L95" i="12"/>
  <c r="L99" i="12"/>
  <c r="W45" i="9"/>
  <c r="AD22" i="9"/>
  <c r="AF22" i="9" s="1"/>
  <c r="AD30" i="9"/>
  <c r="AF30" i="9" s="1"/>
  <c r="AD41" i="9"/>
  <c r="AF41" i="9" s="1"/>
  <c r="AD43" i="9"/>
  <c r="AF43" i="9" s="1"/>
  <c r="N59" i="7"/>
  <c r="J90" i="8"/>
  <c r="S90" i="8"/>
  <c r="AA90" i="8"/>
  <c r="AJ90" i="8"/>
  <c r="AK99" i="8"/>
  <c r="AK105" i="8"/>
  <c r="AK114" i="8"/>
  <c r="E34" i="2"/>
  <c r="I65" i="2"/>
  <c r="R65" i="2"/>
  <c r="AA65" i="2"/>
  <c r="AI54" i="2"/>
  <c r="AI56" i="2"/>
  <c r="AI57" i="2"/>
  <c r="O59" i="2"/>
  <c r="X59" i="2"/>
  <c r="AI59" i="2"/>
  <c r="X60" i="2"/>
  <c r="AI60" i="2"/>
  <c r="X61" i="2"/>
  <c r="AI61" i="2"/>
  <c r="X62" i="2"/>
  <c r="X63" i="2"/>
  <c r="X64" i="2"/>
  <c r="I88" i="2"/>
  <c r="R88" i="2"/>
  <c r="AI73" i="2"/>
  <c r="O74" i="2"/>
  <c r="Z80" i="2"/>
  <c r="AI81" i="2"/>
  <c r="O82" i="2"/>
  <c r="J107" i="2"/>
  <c r="S107" i="2"/>
  <c r="M92" i="2"/>
  <c r="V92" i="2"/>
  <c r="AI93" i="2"/>
  <c r="E25" i="12"/>
  <c r="G36" i="12"/>
  <c r="L45" i="12"/>
  <c r="O61" i="12"/>
  <c r="W61" i="12"/>
  <c r="AF61" i="12"/>
  <c r="L48" i="12"/>
  <c r="L53" i="12"/>
  <c r="L56" i="12"/>
  <c r="F82" i="12"/>
  <c r="N82" i="12"/>
  <c r="W82" i="12"/>
  <c r="AE82" i="12"/>
  <c r="R70" i="12"/>
  <c r="R74" i="12"/>
  <c r="R78" i="12"/>
  <c r="F103" i="12"/>
  <c r="O103" i="12"/>
  <c r="T90" i="12"/>
  <c r="T94" i="12"/>
  <c r="T98" i="12"/>
  <c r="T102" i="12"/>
  <c r="D33" i="9"/>
  <c r="X45" i="9"/>
  <c r="AD21" i="9"/>
  <c r="AF21" i="9" s="1"/>
  <c r="AD23" i="9"/>
  <c r="AF23" i="9" s="1"/>
  <c r="AD32" i="9"/>
  <c r="AF32" i="9" s="1"/>
  <c r="AD33" i="9"/>
  <c r="AF33" i="9" s="1"/>
  <c r="E41" i="9"/>
  <c r="AD40" i="9"/>
  <c r="AF40" i="9" s="1"/>
  <c r="L59" i="7"/>
  <c r="O59" i="7"/>
  <c r="P59" i="7"/>
  <c r="P74" i="8"/>
  <c r="AN74" i="8"/>
  <c r="M91" i="2"/>
  <c r="AF123" i="8"/>
  <c r="V91" i="2"/>
  <c r="M53" i="8"/>
  <c r="O49" i="2"/>
  <c r="AI49" i="2"/>
  <c r="O72" i="2"/>
  <c r="AD99" i="2"/>
  <c r="V53" i="8"/>
  <c r="X49" i="2"/>
  <c r="D25" i="12"/>
  <c r="AE53" i="8"/>
  <c r="AB74" i="8"/>
  <c r="Z72" i="2"/>
  <c r="F35" i="8"/>
  <c r="G25" i="12"/>
  <c r="F61" i="12"/>
  <c r="AF66" i="12"/>
  <c r="L87" i="12"/>
  <c r="T87" i="12"/>
  <c r="AD17" i="9"/>
  <c r="R66" i="12"/>
  <c r="Z45" i="12"/>
  <c r="AH45" i="12"/>
  <c r="AE69" i="8" l="1"/>
  <c r="V69" i="8"/>
  <c r="M69" i="8"/>
  <c r="T14" i="11"/>
  <c r="T3" i="11"/>
  <c r="T2" i="11"/>
  <c r="T9" i="11"/>
  <c r="T4" i="11"/>
  <c r="T10" i="11"/>
  <c r="T6" i="11"/>
  <c r="T17" i="11"/>
  <c r="L103" i="12"/>
  <c r="O65" i="2"/>
  <c r="X65" i="2"/>
  <c r="V107" i="2"/>
  <c r="T13" i="11"/>
  <c r="Z61" i="12"/>
  <c r="O88" i="2"/>
  <c r="AI65" i="2"/>
  <c r="T103" i="12"/>
  <c r="AI99" i="2"/>
  <c r="AH61" i="12"/>
  <c r="AF82" i="12"/>
  <c r="M107" i="2"/>
  <c r="L61" i="12"/>
  <c r="P90" i="8"/>
  <c r="R82" i="12"/>
  <c r="Z88" i="2"/>
  <c r="T11" i="11"/>
  <c r="T5" i="11"/>
  <c r="AB90" i="8"/>
  <c r="AK123" i="8"/>
  <c r="T21" i="11"/>
  <c r="T7" i="11"/>
  <c r="T8" i="11"/>
  <c r="T18" i="11"/>
  <c r="T20" i="11"/>
  <c r="T19" i="11"/>
  <c r="T12" i="11"/>
  <c r="T15" i="11"/>
  <c r="T16" i="11"/>
  <c r="AN90" i="8"/>
  <c r="AD45" i="9"/>
  <c r="AF17" i="9"/>
  <c r="AF45" i="9" s="1"/>
</calcChain>
</file>

<file path=xl/sharedStrings.xml><?xml version="1.0" encoding="utf-8"?>
<sst xmlns="http://schemas.openxmlformats.org/spreadsheetml/2006/main" count="9761" uniqueCount="1070">
  <si>
    <t>benchmark_id</t>
  </si>
  <si>
    <t>cantidad</t>
  </si>
  <si>
    <t>codigo_emi</t>
  </si>
  <si>
    <t>codigo_fdo</t>
  </si>
  <si>
    <t>codigo_ins</t>
  </si>
  <si>
    <t>ctd</t>
  </si>
  <si>
    <t>ctr</t>
  </si>
  <si>
    <t>duration_x</t>
  </si>
  <si>
    <t>duration_y</t>
  </si>
  <si>
    <t>fec_vtco</t>
  </si>
  <si>
    <t>fecha_x</t>
  </si>
  <si>
    <t>fecha_y</t>
  </si>
  <si>
    <t>index_x</t>
  </si>
  <si>
    <t>index_y</t>
  </si>
  <si>
    <t>mcr_x</t>
  </si>
  <si>
    <t>mcr_y</t>
  </si>
  <si>
    <t>moneda_x</t>
  </si>
  <si>
    <t>moneda_y</t>
  </si>
  <si>
    <t>monto</t>
  </si>
  <si>
    <t>nombre_instrumento</t>
  </si>
  <si>
    <t>nominal</t>
  </si>
  <si>
    <t>pcr</t>
  </si>
  <si>
    <t>precio</t>
  </si>
  <si>
    <t>riesgo_x</t>
  </si>
  <si>
    <t>riesgo_y</t>
  </si>
  <si>
    <t>tasa_x</t>
  </si>
  <si>
    <t>tasa_y</t>
  </si>
  <si>
    <t>weight_active</t>
  </si>
  <si>
    <t>weight_x</t>
  </si>
  <si>
    <t>DEUDA CORP</t>
  </si>
  <si>
    <t>US$</t>
  </si>
  <si>
    <t>CL</t>
  </si>
  <si>
    <t>UF</t>
  </si>
  <si>
    <t>AA</t>
  </si>
  <si>
    <t>AA-</t>
  </si>
  <si>
    <t>Consumo</t>
  </si>
  <si>
    <t>AA+</t>
  </si>
  <si>
    <t>Otros</t>
  </si>
  <si>
    <t>Diversificados</t>
  </si>
  <si>
    <t>$</t>
  </si>
  <si>
    <t>Salud</t>
  </si>
  <si>
    <t>Financieras</t>
  </si>
  <si>
    <t>AAA</t>
  </si>
  <si>
    <t>Comunicaciones</t>
  </si>
  <si>
    <t>Industriales</t>
  </si>
  <si>
    <t>Caja</t>
  </si>
  <si>
    <t>N/A</t>
  </si>
  <si>
    <t>EU</t>
  </si>
  <si>
    <t>N-1+</t>
  </si>
  <si>
    <t>SPREADCORP</t>
  </si>
  <si>
    <t>BBB</t>
  </si>
  <si>
    <t>A</t>
  </si>
  <si>
    <t>Retail</t>
  </si>
  <si>
    <t>Transporte</t>
  </si>
  <si>
    <t>Telecomunicaciones</t>
  </si>
  <si>
    <t>DEUDA 360</t>
  </si>
  <si>
    <t>LIQUIDEZ</t>
  </si>
  <si>
    <t>RENTA</t>
  </si>
  <si>
    <t>MACRO 1.5</t>
  </si>
  <si>
    <t>MACRO CLP3</t>
  </si>
  <si>
    <t>Depósitos UF</t>
  </si>
  <si>
    <t>Facturas</t>
  </si>
  <si>
    <t>Total</t>
  </si>
  <si>
    <t>Gobierno UF</t>
  </si>
  <si>
    <t>tipo_instrumento_x</t>
  </si>
  <si>
    <t>tipo_instrumento_y</t>
  </si>
  <si>
    <t>weight</t>
  </si>
  <si>
    <t>mcr</t>
  </si>
  <si>
    <t>duration</t>
  </si>
  <si>
    <t>Spread UF</t>
  </si>
  <si>
    <t>Información de Uso Interno - No distribuir</t>
  </si>
  <si>
    <t>exposure</t>
  </si>
  <si>
    <t>dep $</t>
  </si>
  <si>
    <t>dep UF</t>
  </si>
  <si>
    <t>gob $</t>
  </si>
  <si>
    <t>gob UF</t>
  </si>
  <si>
    <t>spread $</t>
  </si>
  <si>
    <t>spread UF</t>
  </si>
  <si>
    <t>spread US$</t>
  </si>
  <si>
    <t>otros</t>
  </si>
  <si>
    <t>total</t>
  </si>
  <si>
    <t>ranking</t>
  </si>
  <si>
    <t>instrument</t>
  </si>
  <si>
    <t>IMT E-PLUS</t>
  </si>
  <si>
    <t>Alimentos</t>
  </si>
  <si>
    <t>Utilities</t>
  </si>
  <si>
    <t>dep US$</t>
  </si>
  <si>
    <t>Gobierno EU</t>
  </si>
  <si>
    <t>FX Forwards EU</t>
  </si>
  <si>
    <t>FX EU</t>
  </si>
  <si>
    <t>gob EU</t>
  </si>
  <si>
    <t>Depósitos $</t>
  </si>
  <si>
    <t>Gobierno $</t>
  </si>
  <si>
    <t>Spread US$</t>
  </si>
  <si>
    <t>Spread $</t>
  </si>
  <si>
    <t>FX Forwards $</t>
  </si>
  <si>
    <t>FX Forwards US$</t>
  </si>
  <si>
    <t>FX $</t>
  </si>
  <si>
    <t>FX US$</t>
  </si>
  <si>
    <t>ESTRATEGIA</t>
  </si>
  <si>
    <t>SMALLCAP</t>
  </si>
  <si>
    <t>weight_y</t>
  </si>
  <si>
    <t>sector_x</t>
  </si>
  <si>
    <t>sector_y</t>
  </si>
  <si>
    <t>Forwards</t>
  </si>
  <si>
    <t>index</t>
  </si>
  <si>
    <t>currency</t>
  </si>
  <si>
    <t xml:space="preserve"> weight decomposition by rating</t>
  </si>
  <si>
    <t>Summary view</t>
  </si>
  <si>
    <t>facturas</t>
  </si>
  <si>
    <t>letras</t>
  </si>
  <si>
    <t>Sector view</t>
  </si>
  <si>
    <t>M_MARKET</t>
  </si>
  <si>
    <t>Depósitos US$</t>
  </si>
  <si>
    <t>Gobierno US$</t>
  </si>
  <si>
    <t>FX Forwards UF</t>
  </si>
  <si>
    <t>gob US$</t>
  </si>
  <si>
    <t>Top 15 holdings by weight</t>
  </si>
  <si>
    <t>Gob $</t>
  </si>
  <si>
    <t>0-3</t>
  </si>
  <si>
    <t>3-5</t>
  </si>
  <si>
    <t>5-10</t>
  </si>
  <si>
    <t>10+</t>
  </si>
  <si>
    <t>Gob UF</t>
  </si>
  <si>
    <t>Gob Otros</t>
  </si>
  <si>
    <t>AAA ó AA</t>
  </si>
  <si>
    <t>A ó menos</t>
  </si>
  <si>
    <t>Spread Otros</t>
  </si>
  <si>
    <t>IIF</t>
  </si>
  <si>
    <t>0-90</t>
  </si>
  <si>
    <t>90-180</t>
  </si>
  <si>
    <t>180+</t>
  </si>
  <si>
    <t>Risk budget</t>
  </si>
  <si>
    <t xml:space="preserve"> </t>
  </si>
  <si>
    <t>Fecha</t>
  </si>
  <si>
    <t>Fondo</t>
  </si>
  <si>
    <t>Duration</t>
  </si>
  <si>
    <t>Total TE</t>
  </si>
  <si>
    <t>A+</t>
  </si>
  <si>
    <t>CO</t>
  </si>
  <si>
    <t>BB</t>
  </si>
  <si>
    <t>MX</t>
  </si>
  <si>
    <t>BBB-</t>
  </si>
  <si>
    <t>PE</t>
  </si>
  <si>
    <t>BBB+</t>
  </si>
  <si>
    <t>BB+</t>
  </si>
  <si>
    <t>A-</t>
  </si>
  <si>
    <t>LATAM IG</t>
  </si>
  <si>
    <t>riesgo_internacional_x</t>
  </si>
  <si>
    <t>riesgo_internacional_y</t>
  </si>
  <si>
    <t>BB-</t>
  </si>
  <si>
    <t>pais_emisor_x</t>
  </si>
  <si>
    <t>pais_emisor_y</t>
  </si>
  <si>
    <t>BR</t>
  </si>
  <si>
    <t>PA</t>
  </si>
  <si>
    <t>B</t>
  </si>
  <si>
    <t>nombre_emisor_x</t>
  </si>
  <si>
    <t>Entretenimiento</t>
  </si>
  <si>
    <t>Gobierno MX</t>
  </si>
  <si>
    <t>gob MX</t>
  </si>
  <si>
    <t>cty</t>
  </si>
  <si>
    <t>yield</t>
  </si>
  <si>
    <t>gobMX</t>
  </si>
  <si>
    <t>Gobierno REA</t>
  </si>
  <si>
    <t>REA</t>
  </si>
  <si>
    <t>gob REA</t>
  </si>
  <si>
    <t>Energia</t>
  </si>
  <si>
    <t>Construccion</t>
  </si>
  <si>
    <t>Materiales Basicos</t>
  </si>
  <si>
    <t>Servicios Basicos</t>
  </si>
  <si>
    <t>Tecnologia</t>
  </si>
  <si>
    <t>Mineria</t>
  </si>
  <si>
    <t>Banco BBVA</t>
  </si>
  <si>
    <t>Gobierno</t>
  </si>
  <si>
    <t>Codigo_Fdo</t>
  </si>
  <si>
    <t>Metric</t>
  </si>
  <si>
    <t>Slice</t>
  </si>
  <si>
    <t>chile</t>
  </si>
  <si>
    <t>mexico</t>
  </si>
  <si>
    <t>colombia</t>
  </si>
  <si>
    <t>peru</t>
  </si>
  <si>
    <t>brazil</t>
  </si>
  <si>
    <t>other</t>
  </si>
  <si>
    <t>Chile</t>
  </si>
  <si>
    <t>Mexico</t>
  </si>
  <si>
    <t>Colombia</t>
  </si>
  <si>
    <t>Peru</t>
  </si>
  <si>
    <t>Brazil</t>
  </si>
  <si>
    <t>Panama</t>
  </si>
  <si>
    <t>Cash</t>
  </si>
  <si>
    <t>Other</t>
  </si>
  <si>
    <t>Banco Santander</t>
  </si>
  <si>
    <t>Forward  Banco Santander long leg</t>
  </si>
  <si>
    <t>FX Forward</t>
  </si>
  <si>
    <t>BBVA</t>
  </si>
  <si>
    <t>SANTANDER</t>
  </si>
  <si>
    <t>Forward  Banco Santander short leg</t>
  </si>
  <si>
    <t>BCI</t>
  </si>
  <si>
    <t>PAGARE NR</t>
  </si>
  <si>
    <t>Deposito Banco BCI</t>
  </si>
  <si>
    <t>Deposito</t>
  </si>
  <si>
    <t>Banco Falabella</t>
  </si>
  <si>
    <t>Banco Internacional</t>
  </si>
  <si>
    <t>Banco Ripley</t>
  </si>
  <si>
    <t>Index_Id</t>
  </si>
  <si>
    <t>SOL</t>
  </si>
  <si>
    <t>Gobierno SOL</t>
  </si>
  <si>
    <t>gob SOL</t>
  </si>
  <si>
    <t>Leverage</t>
  </si>
  <si>
    <t>Banco Consorcio</t>
  </si>
  <si>
    <t>BICE</t>
  </si>
  <si>
    <t>CONSORCIO</t>
  </si>
  <si>
    <t>Deposito Banco Consorcio</t>
  </si>
  <si>
    <t>Forward  Banco BBVA long leg</t>
  </si>
  <si>
    <t>Forward  Banco BBVA short leg</t>
  </si>
  <si>
    <t>Bono de Gobierno</t>
  </si>
  <si>
    <t>BTU</t>
  </si>
  <si>
    <t>Bono Tesorería en UF</t>
  </si>
  <si>
    <t>BTU0150321</t>
  </si>
  <si>
    <t>BTU0150326</t>
  </si>
  <si>
    <t>Investment Report</t>
  </si>
  <si>
    <t>Δ</t>
  </si>
  <si>
    <t>Currency view</t>
  </si>
  <si>
    <t>Top 10 position instruments</t>
  </si>
  <si>
    <t>Top 10 risk instruments</t>
  </si>
  <si>
    <t>Weight by rating</t>
  </si>
  <si>
    <t>PCR by rating</t>
  </si>
  <si>
    <t>DV10 by rating</t>
  </si>
  <si>
    <t>Weight by type</t>
  </si>
  <si>
    <t>PCR by type</t>
  </si>
  <si>
    <t>IIF Weight</t>
  </si>
  <si>
    <t>Active Weight by type</t>
  </si>
  <si>
    <t>DV10 by type</t>
  </si>
  <si>
    <t>Weight by country</t>
  </si>
  <si>
    <t>DV10 by country</t>
  </si>
  <si>
    <t>Active weight by rating</t>
  </si>
  <si>
    <t>Active weight by country</t>
  </si>
  <si>
    <t>PCR by country</t>
  </si>
  <si>
    <t>}</t>
  </si>
  <si>
    <t>Top 15 holdings by PCR</t>
  </si>
  <si>
    <t>Gobierno de Chile</t>
  </si>
  <si>
    <t>SCOTIABANK</t>
  </si>
  <si>
    <t>Scotiabank</t>
  </si>
  <si>
    <t>Deposito Banco Scotiabank</t>
  </si>
  <si>
    <t>Bono Corporativo</t>
  </si>
  <si>
    <t>BBFALABELL</t>
  </si>
  <si>
    <t>BFAL-B0510</t>
  </si>
  <si>
    <t>Bono Banco Falabella</t>
  </si>
  <si>
    <t>SANT-CHILE</t>
  </si>
  <si>
    <t>SANT0920</t>
  </si>
  <si>
    <t>Bono Banco Santander</t>
  </si>
  <si>
    <t>Banco Estado</t>
  </si>
  <si>
    <t>AES Gener S.A.</t>
  </si>
  <si>
    <t>Aguas Andina S.A.</t>
  </si>
  <si>
    <t>Embotelladora Andina S.A.</t>
  </si>
  <si>
    <t>BANMEDICA</t>
  </si>
  <si>
    <t>Banmedica</t>
  </si>
  <si>
    <t>CAP</t>
  </si>
  <si>
    <t>CENCOSUD</t>
  </si>
  <si>
    <t>Cencosud S.A.</t>
  </si>
  <si>
    <t>CHILE</t>
  </si>
  <si>
    <t>Banco de Chile</t>
  </si>
  <si>
    <t>CMPC</t>
  </si>
  <si>
    <t>Empresas CMPC S.A.</t>
  </si>
  <si>
    <t>COLBUN</t>
  </si>
  <si>
    <t>Colbún S.A.</t>
  </si>
  <si>
    <t>CONCHATORO</t>
  </si>
  <si>
    <t>Concha y Toro</t>
  </si>
  <si>
    <t>COPEC</t>
  </si>
  <si>
    <t>Empresas Copec S.A.</t>
  </si>
  <si>
    <t>Coca Cola Embonor S.A.</t>
  </si>
  <si>
    <t>ENTEL</t>
  </si>
  <si>
    <t>FALAB.SACI</t>
  </si>
  <si>
    <t>FALABELLA SACI</t>
  </si>
  <si>
    <t>Inversiones La Construcción S.A.</t>
  </si>
  <si>
    <t>ITAUCORP</t>
  </si>
  <si>
    <t>Itau/Corpbanca</t>
  </si>
  <si>
    <t>LTM</t>
  </si>
  <si>
    <t>LATAM</t>
  </si>
  <si>
    <t>MASISA</t>
  </si>
  <si>
    <t>Masisa</t>
  </si>
  <si>
    <t>Parque Arauco S.A.</t>
  </si>
  <si>
    <t>QUINENCO</t>
  </si>
  <si>
    <t>Quiñenco S.A.</t>
  </si>
  <si>
    <t>SALFACORP</t>
  </si>
  <si>
    <t>Salfa Corp.</t>
  </si>
  <si>
    <t>Banco Security</t>
  </si>
  <si>
    <t>SK</t>
  </si>
  <si>
    <t>Sigdo Koppers S.A.</t>
  </si>
  <si>
    <t>Sociedad Matriz SAAM S.A.</t>
  </si>
  <si>
    <t>SMU</t>
  </si>
  <si>
    <t>SMU S.A.</t>
  </si>
  <si>
    <t>SONDA</t>
  </si>
  <si>
    <t>Sonda S.A.</t>
  </si>
  <si>
    <t>SOQUIMICH</t>
  </si>
  <si>
    <t>SQM S.A.</t>
  </si>
  <si>
    <t>BBRIPLEY</t>
  </si>
  <si>
    <t>BRPL-A0414</t>
  </si>
  <si>
    <t>Bono Bancario Ripley</t>
  </si>
  <si>
    <t>FACTORLINE</t>
  </si>
  <si>
    <t>BFLIN-I</t>
  </si>
  <si>
    <t>Factorline S.A.</t>
  </si>
  <si>
    <t>Bono Factorline</t>
  </si>
  <si>
    <t>BSKSA-B</t>
  </si>
  <si>
    <t>Bono Sk</t>
  </si>
  <si>
    <t>BRPL-K0315</t>
  </si>
  <si>
    <t>BBCHILE</t>
  </si>
  <si>
    <t>BCHIAI0213</t>
  </si>
  <si>
    <t>Bono Banco Chile</t>
  </si>
  <si>
    <t>BCHIUI0611</t>
  </si>
  <si>
    <t>BCHIUN1011</t>
  </si>
  <si>
    <t>BBESTADO</t>
  </si>
  <si>
    <t>BESTJ31008</t>
  </si>
  <si>
    <t>Bono Banco Estado</t>
  </si>
  <si>
    <t>BESTJ50109</t>
  </si>
  <si>
    <t>BESTK30114</t>
  </si>
  <si>
    <t>BBSANT-CHI</t>
  </si>
  <si>
    <t>BSTDE20111</t>
  </si>
  <si>
    <t>BBSCOTIABA</t>
  </si>
  <si>
    <t>BBNS-P0413</t>
  </si>
  <si>
    <t>Bono Scotiabank</t>
  </si>
  <si>
    <t>BBNS-R0613</t>
  </si>
  <si>
    <t>AGUAS</t>
  </si>
  <si>
    <t>BAGUA-R</t>
  </si>
  <si>
    <t>Bono Aguas Andinas</t>
  </si>
  <si>
    <t>BBBVA</t>
  </si>
  <si>
    <t>BBBVJ40413</t>
  </si>
  <si>
    <t>Bono Banco BBVA</t>
  </si>
  <si>
    <t>BBBVM21011</t>
  </si>
  <si>
    <t>BBCONSORC</t>
  </si>
  <si>
    <t>BCNO-C0613</t>
  </si>
  <si>
    <t>Bono Banco Consorcio</t>
  </si>
  <si>
    <t>BBCORPBANC</t>
  </si>
  <si>
    <t>BCORAG0710</t>
  </si>
  <si>
    <t>Bono Corpbanca</t>
  </si>
  <si>
    <t>BBSECURITY</t>
  </si>
  <si>
    <t>BSECM10109</t>
  </si>
  <si>
    <t>Bono Banco Security</t>
  </si>
  <si>
    <t>BCENC-E</t>
  </si>
  <si>
    <t>Bono Cencosud S.A.</t>
  </si>
  <si>
    <t>BCTOR-F</t>
  </si>
  <si>
    <t>Bono Concha Y Toro</t>
  </si>
  <si>
    <t>ENAP</t>
  </si>
  <si>
    <t>BENAP-B</t>
  </si>
  <si>
    <t>LEAS FORUM</t>
  </si>
  <si>
    <t>BFORU-AQ</t>
  </si>
  <si>
    <t>Forum Servicios Financieros S.A.</t>
  </si>
  <si>
    <t>Bono Forum Servicios Financieros</t>
  </si>
  <si>
    <t>LOS ANDES</t>
  </si>
  <si>
    <t>BCAJ-J1215</t>
  </si>
  <si>
    <t>Caja Los Andes</t>
  </si>
  <si>
    <t>Bono Caja Los Andes</t>
  </si>
  <si>
    <t>PLAZA S.A.</t>
  </si>
  <si>
    <t>BPLZA-I</t>
  </si>
  <si>
    <t>Plaza S.A.</t>
  </si>
  <si>
    <t>Bono Plaza S.A.</t>
  </si>
  <si>
    <t>Bono Quinenco</t>
  </si>
  <si>
    <t>BQUIN-G</t>
  </si>
  <si>
    <t>BBEDWARDS</t>
  </si>
  <si>
    <t>UEDWA60899</t>
  </si>
  <si>
    <t>Banco Edwards Citi</t>
  </si>
  <si>
    <t>Bono Banco Edwards</t>
  </si>
  <si>
    <t>BBNS-U0414</t>
  </si>
  <si>
    <t>TECNOCONTR</t>
  </si>
  <si>
    <t>BCOSJ-A</t>
  </si>
  <si>
    <t>San José Tecnocontrol</t>
  </si>
  <si>
    <t>Bono Constructora San Jose</t>
  </si>
  <si>
    <t>ARAUCO</t>
  </si>
  <si>
    <t>BARAU-J</t>
  </si>
  <si>
    <t>Celulosa Arauco y Constitución</t>
  </si>
  <si>
    <t>Bono Celulosa Arauco</t>
  </si>
  <si>
    <t>BARAU-Q</t>
  </si>
  <si>
    <t>BBBVJ51113</t>
  </si>
  <si>
    <t>BCNO-H0414</t>
  </si>
  <si>
    <t>BCOR-R0110</t>
  </si>
  <si>
    <t>BCORAI0710</t>
  </si>
  <si>
    <t>BBICE</t>
  </si>
  <si>
    <t>BBIC580314</t>
  </si>
  <si>
    <t>Bono Banco Bice</t>
  </si>
  <si>
    <t>BBITAU</t>
  </si>
  <si>
    <t>BITA-N0612</t>
  </si>
  <si>
    <t>Bono Banco Itaucorp</t>
  </si>
  <si>
    <t>BITAAI0415</t>
  </si>
  <si>
    <t>BSECR10611</t>
  </si>
  <si>
    <t>BCTOR-J</t>
  </si>
  <si>
    <t>BANDI-C</t>
  </si>
  <si>
    <t>BKOEM-C</t>
  </si>
  <si>
    <t>ENLASA</t>
  </si>
  <si>
    <t>BENGE-B</t>
  </si>
  <si>
    <t>ENLASA S.A.</t>
  </si>
  <si>
    <t>Bono Enlasa Generacion</t>
  </si>
  <si>
    <t>BFRON-C</t>
  </si>
  <si>
    <t>Frontel</t>
  </si>
  <si>
    <t>BFORU-AZ</t>
  </si>
  <si>
    <t>BFORU-BD</t>
  </si>
  <si>
    <t>BMETR-H</t>
  </si>
  <si>
    <t>Emp. de Transporte de Pasajeros Metro S.A.</t>
  </si>
  <si>
    <t>MOVISTAR</t>
  </si>
  <si>
    <t>BTMOV-I</t>
  </si>
  <si>
    <t>Movistar</t>
  </si>
  <si>
    <t>Bono Movistar</t>
  </si>
  <si>
    <t>BPLZA-M</t>
  </si>
  <si>
    <t>BQUIN-I</t>
  </si>
  <si>
    <t>BBCREDITO</t>
  </si>
  <si>
    <t>BBCIE20811</t>
  </si>
  <si>
    <t>Bono BCI</t>
  </si>
  <si>
    <t>METROGAS</t>
  </si>
  <si>
    <t>BMGAS-F</t>
  </si>
  <si>
    <t>Metrogas</t>
  </si>
  <si>
    <t>Bono Metrogas</t>
  </si>
  <si>
    <t>BITAAA0613</t>
  </si>
  <si>
    <t>BICECORP</t>
  </si>
  <si>
    <t>BBECP-B</t>
  </si>
  <si>
    <t>BFORU-AR</t>
  </si>
  <si>
    <t>BCAJ-I0315</t>
  </si>
  <si>
    <t>BCAJ-O0816</t>
  </si>
  <si>
    <t>BBCIAK1114</t>
  </si>
  <si>
    <t>BSTDP20115</t>
  </si>
  <si>
    <t>BSTDSE0614</t>
  </si>
  <si>
    <t>BBANM-I</t>
  </si>
  <si>
    <t>Bono Banmedica</t>
  </si>
  <si>
    <t>BBBVP20714</t>
  </si>
  <si>
    <t>BCNO-O1114</t>
  </si>
  <si>
    <t>BBIC640116</t>
  </si>
  <si>
    <t>BSECZ10715</t>
  </si>
  <si>
    <t>BBECP-C</t>
  </si>
  <si>
    <t>BFORU-AX</t>
  </si>
  <si>
    <t>TELEFONOS</t>
  </si>
  <si>
    <t>BCTCH-Q</t>
  </si>
  <si>
    <t>CTC S.A.</t>
  </si>
  <si>
    <t>Bono Ctc</t>
  </si>
  <si>
    <t>BSECZ20816</t>
  </si>
  <si>
    <t>BCENC-P</t>
  </si>
  <si>
    <t>BFALA-O</t>
  </si>
  <si>
    <t>Bono Falabella</t>
  </si>
  <si>
    <t>BFORU-BA</t>
  </si>
  <si>
    <t>SCCH</t>
  </si>
  <si>
    <t>BSCCH-B</t>
  </si>
  <si>
    <t>Santander Consumer Finance</t>
  </si>
  <si>
    <t>Bono Banco Santander Consumer Finance</t>
  </si>
  <si>
    <t>Deposito Banco Itaucorp</t>
  </si>
  <si>
    <t>Deposito Banco Chile</t>
  </si>
  <si>
    <t>TANNER SF</t>
  </si>
  <si>
    <t>Tanner</t>
  </si>
  <si>
    <t>Consecionaria</t>
  </si>
  <si>
    <t>B-</t>
  </si>
  <si>
    <t>Cuota de Fondo</t>
  </si>
  <si>
    <t>CELEO</t>
  </si>
  <si>
    <t>Celeo Redes Chile</t>
  </si>
  <si>
    <t>Bono Celeo Chile</t>
  </si>
  <si>
    <t>CMPCCI0427</t>
  </si>
  <si>
    <t>Bono CMPC</t>
  </si>
  <si>
    <t>Bono Colbun S.A.</t>
  </si>
  <si>
    <t>Bono Entel</t>
  </si>
  <si>
    <t>ENTEL3024</t>
  </si>
  <si>
    <t>GNLQUINTER</t>
  </si>
  <si>
    <t>GNLQCI0729</t>
  </si>
  <si>
    <t>GNL Quintero S.A.</t>
  </si>
  <si>
    <t>Bono GNL Quintero S.A.</t>
  </si>
  <si>
    <t>Bono SQM</t>
  </si>
  <si>
    <t>AUTOCENTRA</t>
  </si>
  <si>
    <t>BACEN-A1</t>
  </si>
  <si>
    <t>Soc. Conc. Autopista Central S.A.</t>
  </si>
  <si>
    <t>Bono Autopista Central</t>
  </si>
  <si>
    <t>Concesionaria</t>
  </si>
  <si>
    <t>AGROSUPER</t>
  </si>
  <si>
    <t>BAGRS-D</t>
  </si>
  <si>
    <t>Agrosuper</t>
  </si>
  <si>
    <t>Bono Agrosuper S.A.</t>
  </si>
  <si>
    <t>BAGUA-J</t>
  </si>
  <si>
    <t>BAGUA-Z</t>
  </si>
  <si>
    <t>BANOR-B2</t>
  </si>
  <si>
    <t>Soc. Conc. Costanera Norte S.A.</t>
  </si>
  <si>
    <t>AGUAS NSUR</t>
  </si>
  <si>
    <t>BANSM-A</t>
  </si>
  <si>
    <t>Aguas Nuevo Sur</t>
  </si>
  <si>
    <t>Bono Aguas Nuevo Sur</t>
  </si>
  <si>
    <t>AGUAS NUEV</t>
  </si>
  <si>
    <t>BANUE-A</t>
  </si>
  <si>
    <t>Bono Aguas Nuevas</t>
  </si>
  <si>
    <t>BARAU-F</t>
  </si>
  <si>
    <t>BARAU-P</t>
  </si>
  <si>
    <t>BARAU-S</t>
  </si>
  <si>
    <t>AYSTRES</t>
  </si>
  <si>
    <t>BAYS3-A</t>
  </si>
  <si>
    <t>INVERSIONES AYS TRES</t>
  </si>
  <si>
    <t>Bono Inversiones Ays Tres</t>
  </si>
  <si>
    <t>BBANM-D</t>
  </si>
  <si>
    <t>Bonos Banmedica</t>
  </si>
  <si>
    <t>BBANM-Q</t>
  </si>
  <si>
    <t>BBBVJ71215</t>
  </si>
  <si>
    <t>BBBVJ80416</t>
  </si>
  <si>
    <t>BBBVJ90517</t>
  </si>
  <si>
    <t>BBBVK10509</t>
  </si>
  <si>
    <t>BBBVK30212</t>
  </si>
  <si>
    <t>BBBVK40212</t>
  </si>
  <si>
    <t>BBBVK51113</t>
  </si>
  <si>
    <t>BBBVK61113</t>
  </si>
  <si>
    <t>BBBVK70714</t>
  </si>
  <si>
    <t>BBBVK80714</t>
  </si>
  <si>
    <t>BBBVK90416</t>
  </si>
  <si>
    <t>BBBVM31113</t>
  </si>
  <si>
    <t>BBBVM41113</t>
  </si>
  <si>
    <t>BBBVM50714</t>
  </si>
  <si>
    <t>BBBVM61215</t>
  </si>
  <si>
    <t>BBBVM70416</t>
  </si>
  <si>
    <t>BBBVM80416</t>
  </si>
  <si>
    <t>BBBVO10416</t>
  </si>
  <si>
    <t>BBBVP10713</t>
  </si>
  <si>
    <t>BBBVP30316</t>
  </si>
  <si>
    <t>BBBVP40316</t>
  </si>
  <si>
    <t>BBCIA10417</t>
  </si>
  <si>
    <t>BBCIAB0708</t>
  </si>
  <si>
    <t>BBCIB10517</t>
  </si>
  <si>
    <t>BBCIB20517</t>
  </si>
  <si>
    <t>BBCIC10717</t>
  </si>
  <si>
    <t>BBCIC20717</t>
  </si>
  <si>
    <t>BBCIF20812</t>
  </si>
  <si>
    <t>BBCIJ11014</t>
  </si>
  <si>
    <t>BBCIJ21014</t>
  </si>
  <si>
    <t>BBCIN11216</t>
  </si>
  <si>
    <t>BCI SECURI</t>
  </si>
  <si>
    <t>BBCIS-P26A</t>
  </si>
  <si>
    <t>BCI Securitizadora</t>
  </si>
  <si>
    <t>BBCIS-P30A</t>
  </si>
  <si>
    <t>BBECP-A</t>
  </si>
  <si>
    <t>BBIC480510</t>
  </si>
  <si>
    <t>Bono Bancario Bice 48</t>
  </si>
  <si>
    <t>BBIC510214</t>
  </si>
  <si>
    <t>BBIC530312</t>
  </si>
  <si>
    <t>BBIC570214</t>
  </si>
  <si>
    <t>BBIC590314</t>
  </si>
  <si>
    <t>BBIC650116</t>
  </si>
  <si>
    <t>BBIC670316</t>
  </si>
  <si>
    <t>BBNS-J0610</t>
  </si>
  <si>
    <t>BBNS-L0511</t>
  </si>
  <si>
    <t>BBNS-M0412</t>
  </si>
  <si>
    <t>BBNS-N0712</t>
  </si>
  <si>
    <t>BBNS-Q0513</t>
  </si>
  <si>
    <t>BBNS-S1013</t>
  </si>
  <si>
    <t>BBNS-V0514</t>
  </si>
  <si>
    <t>BBNS-W0414</t>
  </si>
  <si>
    <t>BBNS-X0814</t>
  </si>
  <si>
    <t>BBNS-Y0814</t>
  </si>
  <si>
    <t>BBNSAB0515</t>
  </si>
  <si>
    <t>BBNSAD1015</t>
  </si>
  <si>
    <t>BBNSAE0116</t>
  </si>
  <si>
    <t>BBNSAF1016</t>
  </si>
  <si>
    <t>BCAJ-L1215</t>
  </si>
  <si>
    <t>BCAJ-Q0117</t>
  </si>
  <si>
    <t>BCAJ-U0517</t>
  </si>
  <si>
    <t>BCAJ-V0917</t>
  </si>
  <si>
    <t>BCAPS-G</t>
  </si>
  <si>
    <t>Bono CAP</t>
  </si>
  <si>
    <t>BCAPS-H</t>
  </si>
  <si>
    <t>BCENC-F</t>
  </si>
  <si>
    <t>BCENC-J</t>
  </si>
  <si>
    <t>BCENC-N</t>
  </si>
  <si>
    <t>BCENC-O</t>
  </si>
  <si>
    <t>CONSOR FIN</t>
  </si>
  <si>
    <t>BCFSA-B</t>
  </si>
  <si>
    <t>Consorcio Financiera</t>
  </si>
  <si>
    <t>Bono Consorcio</t>
  </si>
  <si>
    <t>BCFSA-C</t>
  </si>
  <si>
    <t>Bono Consorcio Financiero</t>
  </si>
  <si>
    <t>ELECTRICID</t>
  </si>
  <si>
    <t>BCGEI-I</t>
  </si>
  <si>
    <t>Cía. General de Electricidad S.A.</t>
  </si>
  <si>
    <t>Bono Cge</t>
  </si>
  <si>
    <t>BCGET-D</t>
  </si>
  <si>
    <t>CG VIDA</t>
  </si>
  <si>
    <t>BCGVI-B</t>
  </si>
  <si>
    <t>Corpgroup Vida Chile</t>
  </si>
  <si>
    <t>Bono Corpgroup Vida Chile</t>
  </si>
  <si>
    <t>BCHI-O0704</t>
  </si>
  <si>
    <t>BCHIAJ0413</t>
  </si>
  <si>
    <t>BCHIAK0613</t>
  </si>
  <si>
    <t>BCHIAL0213</t>
  </si>
  <si>
    <t>BCHIAM0413</t>
  </si>
  <si>
    <t>BCHIAN0513</t>
  </si>
  <si>
    <t>BCHIAO0713</t>
  </si>
  <si>
    <t>BCHIAP0213</t>
  </si>
  <si>
    <t>BCHIAQ0213</t>
  </si>
  <si>
    <t>BCHIAR0613</t>
  </si>
  <si>
    <t>BCHIAS0513</t>
  </si>
  <si>
    <t>BCHIAT0613</t>
  </si>
  <si>
    <t>BCHIAV0613</t>
  </si>
  <si>
    <t>BCHIAY0213</t>
  </si>
  <si>
    <t>BCHIAZ0613</t>
  </si>
  <si>
    <t>BCHIBA0815</t>
  </si>
  <si>
    <t>BCHIBB0815</t>
  </si>
  <si>
    <t>BCHIBC1215</t>
  </si>
  <si>
    <t>BCHIBE1115</t>
  </si>
  <si>
    <t>BCHIBG1115</t>
  </si>
  <si>
    <t>BCHIBH0915</t>
  </si>
  <si>
    <t>BCHIBM0815</t>
  </si>
  <si>
    <t>BANCHILSEC</t>
  </si>
  <si>
    <t>BCHIS-P18A</t>
  </si>
  <si>
    <t>Banchile Securitizadora</t>
  </si>
  <si>
    <t>Bono Banchile Securitizadora</t>
  </si>
  <si>
    <t>BCHIUJ0811</t>
  </si>
  <si>
    <t>BCHIUK0611</t>
  </si>
  <si>
    <t>BCHIUO0911</t>
  </si>
  <si>
    <t>BCHIUP1211</t>
  </si>
  <si>
    <t>BCHIUQ1011</t>
  </si>
  <si>
    <t>BCHIUR1011</t>
  </si>
  <si>
    <t>BCHIUS0212</t>
  </si>
  <si>
    <t>BCHIUT0112</t>
  </si>
  <si>
    <t>BCHIUU0212</t>
  </si>
  <si>
    <t>BCHIUW1011</t>
  </si>
  <si>
    <t>BCHIUX0212</t>
  </si>
  <si>
    <t>BCHIUY1211</t>
  </si>
  <si>
    <t>BCHIUZ1011</t>
  </si>
  <si>
    <t>BCNO-L1114</t>
  </si>
  <si>
    <t>BCNO-U0915</t>
  </si>
  <si>
    <t>BCNOAB0317</t>
  </si>
  <si>
    <t>BCNOAC0117</t>
  </si>
  <si>
    <t>BCODE-B</t>
  </si>
  <si>
    <t>Codelco</t>
  </si>
  <si>
    <t>BCOLB-F</t>
  </si>
  <si>
    <t>COOPEUCH</t>
  </si>
  <si>
    <t>BCOO-C0713</t>
  </si>
  <si>
    <t>Bono Coopeuch</t>
  </si>
  <si>
    <t>BCOOB20609</t>
  </si>
  <si>
    <t>BCOOD20514</t>
  </si>
  <si>
    <t>BCOR-P0110</t>
  </si>
  <si>
    <t>BCORAJ0710</t>
  </si>
  <si>
    <t>BCORAK0710</t>
  </si>
  <si>
    <t>BCORAN0710</t>
  </si>
  <si>
    <t>BCORAO0710</t>
  </si>
  <si>
    <t>BCORAP0710</t>
  </si>
  <si>
    <t>BCORBW0914</t>
  </si>
  <si>
    <t>BCORBX0914</t>
  </si>
  <si>
    <t>BCORBZ0914</t>
  </si>
  <si>
    <t>BCORCA0914</t>
  </si>
  <si>
    <t>BCRIS-F</t>
  </si>
  <si>
    <t>BCTCH-T</t>
  </si>
  <si>
    <t>BECOP-E</t>
  </si>
  <si>
    <t>BECOP-G</t>
  </si>
  <si>
    <t>Bono Copec</t>
  </si>
  <si>
    <t>BECOP-H</t>
  </si>
  <si>
    <t>Bono Empresas Copec</t>
  </si>
  <si>
    <t>BEILC-D</t>
  </si>
  <si>
    <t>BEILC-F</t>
  </si>
  <si>
    <t>KOPOLAR</t>
  </si>
  <si>
    <t>BEKOP-C</t>
  </si>
  <si>
    <t>Embotelladoras Coca-Cola Polar S.A.</t>
  </si>
  <si>
    <t>Bono Kopolar</t>
  </si>
  <si>
    <t>ENAEX</t>
  </si>
  <si>
    <t>BENAE-A</t>
  </si>
  <si>
    <t>Bono Enaex S.A.</t>
  </si>
  <si>
    <t>BENDE-H</t>
  </si>
  <si>
    <t>ENDESA S.A.</t>
  </si>
  <si>
    <t>ENDESA</t>
  </si>
  <si>
    <t>BENDE-M</t>
  </si>
  <si>
    <t>Bono Endesa</t>
  </si>
  <si>
    <t>ESSAL</t>
  </si>
  <si>
    <t>BESAL-B</t>
  </si>
  <si>
    <t>Empresa de Servicios Sanitarios de Los Lagos</t>
  </si>
  <si>
    <t>Bono Essal</t>
  </si>
  <si>
    <t>BESSB-D</t>
  </si>
  <si>
    <t>BESTJ20708</t>
  </si>
  <si>
    <t>BESTK10713</t>
  </si>
  <si>
    <t>BESTK50714</t>
  </si>
  <si>
    <t>BESTK70115</t>
  </si>
  <si>
    <t>BESTO20315</t>
  </si>
  <si>
    <t>BESTO30315</t>
  </si>
  <si>
    <t>BESTO50615</t>
  </si>
  <si>
    <t>BESTO60715</t>
  </si>
  <si>
    <t>BESTQ10316</t>
  </si>
  <si>
    <t>BESTR20317</t>
  </si>
  <si>
    <t>BESTR30317</t>
  </si>
  <si>
    <t>BESTR40517</t>
  </si>
  <si>
    <t>BESTS10317</t>
  </si>
  <si>
    <t>BESTS50317</t>
  </si>
  <si>
    <t>BESTS70517</t>
  </si>
  <si>
    <t>BESTU20517</t>
  </si>
  <si>
    <t>ESVAL</t>
  </si>
  <si>
    <t>BESVA-D1</t>
  </si>
  <si>
    <t>Bono Esval</t>
  </si>
  <si>
    <t>BFAL-A0510</t>
  </si>
  <si>
    <t>BFAL-F0615</t>
  </si>
  <si>
    <t>BFALA-L</t>
  </si>
  <si>
    <t xml:space="preserve">FALABELLA SACI </t>
  </si>
  <si>
    <t>BFALA-Q</t>
  </si>
  <si>
    <t>BFORU-AT</t>
  </si>
  <si>
    <t>BFORU-BF</t>
  </si>
  <si>
    <t>BFORU-BH</t>
  </si>
  <si>
    <t>BFORU-BJ</t>
  </si>
  <si>
    <t>BFSEC-E</t>
  </si>
  <si>
    <t>Factoring Security S.A.</t>
  </si>
  <si>
    <t>ELECDELSUR</t>
  </si>
  <si>
    <t>BIELC-D</t>
  </si>
  <si>
    <t>Distribuidora de Electrividad del Sur</t>
  </si>
  <si>
    <t>Bono Distribuidora Del Sur</t>
  </si>
  <si>
    <t>CFIRENTAS</t>
  </si>
  <si>
    <t>BINDE-A</t>
  </si>
  <si>
    <t>Fondo de Inversion Independencia Rentas Inmobiliarias</t>
  </si>
  <si>
    <t>Bono Fondo de Inversion Independencia Rentas Inmobiliarias</t>
  </si>
  <si>
    <t>BBINTERNAC</t>
  </si>
  <si>
    <t>BINT-G0617</t>
  </si>
  <si>
    <t>Bono Banco Internacional</t>
  </si>
  <si>
    <t>BITA-K0911</t>
  </si>
  <si>
    <t>BITA-O0612</t>
  </si>
  <si>
    <t>BITA-P0612</t>
  </si>
  <si>
    <t>BITA-U1212</t>
  </si>
  <si>
    <t>BITA-V1212</t>
  </si>
  <si>
    <t>BITA-X0613</t>
  </si>
  <si>
    <t>BITAAF0614</t>
  </si>
  <si>
    <t>BITAAG0614</t>
  </si>
  <si>
    <t>BITAAJ0615</t>
  </si>
  <si>
    <t>BITAL21211</t>
  </si>
  <si>
    <t>BITAM21211</t>
  </si>
  <si>
    <t>BITAQ10512</t>
  </si>
  <si>
    <t>BITAR20512</t>
  </si>
  <si>
    <t>JUMBO</t>
  </si>
  <si>
    <t>BJUMB-B2</t>
  </si>
  <si>
    <t>Bono Jumbo</t>
  </si>
  <si>
    <t>BLQIF-D</t>
  </si>
  <si>
    <t>LQ Inversiones Financieras</t>
  </si>
  <si>
    <t>BMGAS-D2</t>
  </si>
  <si>
    <t>NTRANSELEC</t>
  </si>
  <si>
    <t>BNTRA-D</t>
  </si>
  <si>
    <t>Transelec S.A.</t>
  </si>
  <si>
    <t>Serie Transelec S.A.</t>
  </si>
  <si>
    <t>BPARC-H</t>
  </si>
  <si>
    <t>P.ARAUCO</t>
  </si>
  <si>
    <t>BPARC-L</t>
  </si>
  <si>
    <t>Bono Parque Arauco</t>
  </si>
  <si>
    <t>BPLZA-C</t>
  </si>
  <si>
    <t>BQUIN-F</t>
  </si>
  <si>
    <t>SM SAAM</t>
  </si>
  <si>
    <t>BSAAM-B</t>
  </si>
  <si>
    <t>Bono SAAM</t>
  </si>
  <si>
    <t>BSAAM-C</t>
  </si>
  <si>
    <t>Bono SM SAAM</t>
  </si>
  <si>
    <t>SAESA S.A.</t>
  </si>
  <si>
    <t>BSAES-L</t>
  </si>
  <si>
    <t>BSECB30614</t>
  </si>
  <si>
    <t>BSECB40615</t>
  </si>
  <si>
    <t>BSECB50816</t>
  </si>
  <si>
    <t>BSECH11206</t>
  </si>
  <si>
    <t>BSECK21111</t>
  </si>
  <si>
    <t>BSECK31112</t>
  </si>
  <si>
    <t>BSECK41013</t>
  </si>
  <si>
    <t>BSECK50614</t>
  </si>
  <si>
    <t>BSECK60315</t>
  </si>
  <si>
    <t>BSECK70915</t>
  </si>
  <si>
    <t>BSECK81016</t>
  </si>
  <si>
    <t>BSECN10109</t>
  </si>
  <si>
    <t>BSKSA-C</t>
  </si>
  <si>
    <t>BSKSA-E</t>
  </si>
  <si>
    <t>BSODI-K</t>
  </si>
  <si>
    <t xml:space="preserve">Sodimac </t>
  </si>
  <si>
    <t>SONACOL</t>
  </si>
  <si>
    <t>BSONA-C</t>
  </si>
  <si>
    <t>Soc. Nac. Oleoductos</t>
  </si>
  <si>
    <t>Bono Sociedad Nacional De Oleoductos</t>
  </si>
  <si>
    <t>BSOND-C</t>
  </si>
  <si>
    <t>Bono Sonda</t>
  </si>
  <si>
    <t>BSOND-E</t>
  </si>
  <si>
    <t>BSOQU-H</t>
  </si>
  <si>
    <t>BSTD020216</t>
  </si>
  <si>
    <t>BSTD050216</t>
  </si>
  <si>
    <t>BSTD090216</t>
  </si>
  <si>
    <t>BSTD130216</t>
  </si>
  <si>
    <t>BSTD160216</t>
  </si>
  <si>
    <t>BSTDE30111</t>
  </si>
  <si>
    <t>BSTDE60412</t>
  </si>
  <si>
    <t>BSTDE90113</t>
  </si>
  <si>
    <t>BSTDEA0913</t>
  </si>
  <si>
    <t>BSTDEB1013</t>
  </si>
  <si>
    <t>BSTDEC0913</t>
  </si>
  <si>
    <t>BSTDED0114</t>
  </si>
  <si>
    <t>BSTDEF0114</t>
  </si>
  <si>
    <t>BSTDFC0810</t>
  </si>
  <si>
    <t>BSTDP10115</t>
  </si>
  <si>
    <t>BSTDP30115</t>
  </si>
  <si>
    <t>BSTDP40315</t>
  </si>
  <si>
    <t>BSTDP60315</t>
  </si>
  <si>
    <t>BSTDP70315</t>
  </si>
  <si>
    <t>BSTDP80315</t>
  </si>
  <si>
    <t>BSTDR10915</t>
  </si>
  <si>
    <t>BSTDR30915</t>
  </si>
  <si>
    <t>BSTDR40915</t>
  </si>
  <si>
    <t>BSTDR51215</t>
  </si>
  <si>
    <t>BSTDR61215</t>
  </si>
  <si>
    <t>BSTDSA0714</t>
  </si>
  <si>
    <t>BSTDSB0714</t>
  </si>
  <si>
    <t>BSTDSD0614</t>
  </si>
  <si>
    <t>BSTDSF1014</t>
  </si>
  <si>
    <t>BTANN-P</t>
  </si>
  <si>
    <t>Bono SF Tanner S.A.</t>
  </si>
  <si>
    <t>BTANN-S</t>
  </si>
  <si>
    <t>BTANN-U</t>
  </si>
  <si>
    <t>BTANN-X</t>
  </si>
  <si>
    <t>Bono Tanner</t>
  </si>
  <si>
    <t>BTANN-Z</t>
  </si>
  <si>
    <t>BTMOV-F</t>
  </si>
  <si>
    <t>BTMOV-G</t>
  </si>
  <si>
    <t>BTMOV-K</t>
  </si>
  <si>
    <t>FWDCLUS32918</t>
  </si>
  <si>
    <t>FWDCLUS8318</t>
  </si>
  <si>
    <t>FWDUSCL8318</t>
  </si>
  <si>
    <t>UBCI-U0607</t>
  </si>
  <si>
    <t>UBCIF10599</t>
  </si>
  <si>
    <t>Bono Subordinado Bci</t>
  </si>
  <si>
    <t>UBCIS11205</t>
  </si>
  <si>
    <t>UBCIS21205</t>
  </si>
  <si>
    <t>UCHIC20100</t>
  </si>
  <si>
    <t>Bono Subordinado Banco Chile</t>
  </si>
  <si>
    <t>UCHID10402</t>
  </si>
  <si>
    <t>BBDESARROL</t>
  </si>
  <si>
    <t>UDES-F1004</t>
  </si>
  <si>
    <t>Bono Subordinado Banco Desarrollo</t>
  </si>
  <si>
    <t>UEST-A0799</t>
  </si>
  <si>
    <t>UEST-C0405</t>
  </si>
  <si>
    <t>Bono Subordinado Banco Estado</t>
  </si>
  <si>
    <t>UFAL-A0607</t>
  </si>
  <si>
    <t>Bono Subordinado Banco Falabella</t>
  </si>
  <si>
    <t>UITA-C0408</t>
  </si>
  <si>
    <t>Bono Subordinado Banco Itau</t>
  </si>
  <si>
    <t>USTD-M0301</t>
  </si>
  <si>
    <t>FIP AMERIS</t>
  </si>
  <si>
    <t>CFIAMERIS</t>
  </si>
  <si>
    <t>Contempora</t>
  </si>
  <si>
    <t>Cuotas de FIP Ameris</t>
  </si>
  <si>
    <t>FIP LP 01</t>
  </si>
  <si>
    <t>CFIPLAPOL1</t>
  </si>
  <si>
    <t>La Polar S.A.</t>
  </si>
  <si>
    <t>Cuotas de Fondo La Polar</t>
  </si>
  <si>
    <t>C</t>
  </si>
  <si>
    <t>EM.CAROZZI</t>
  </si>
  <si>
    <t>BEMCA-N</t>
  </si>
  <si>
    <t>Empresas Carozzi S.A.</t>
  </si>
  <si>
    <t>Bono Carozzi</t>
  </si>
  <si>
    <t>LOS HEROES</t>
  </si>
  <si>
    <t>BHER-C0413</t>
  </si>
  <si>
    <t>Caja Los Héroes</t>
  </si>
  <si>
    <t>Bono Los Heroes C.C.A.F.</t>
  </si>
  <si>
    <t>BHER-E0813</t>
  </si>
  <si>
    <t>BHER-G0914</t>
  </si>
  <si>
    <t>BHER-M0117</t>
  </si>
  <si>
    <t>Bono Caja Los Heroes</t>
  </si>
  <si>
    <t>UDECONCE</t>
  </si>
  <si>
    <t>BUDC-A</t>
  </si>
  <si>
    <t>Universidad de Concepción</t>
  </si>
  <si>
    <t>Bono Universidad De Concepcion</t>
  </si>
  <si>
    <t>Educación</t>
  </si>
  <si>
    <t>USECE10506</t>
  </si>
  <si>
    <t>FACSECU</t>
  </si>
  <si>
    <t>Bono Factoring Security</t>
  </si>
  <si>
    <t>GASCO</t>
  </si>
  <si>
    <t>BGASC-F2</t>
  </si>
  <si>
    <t>Gasco</t>
  </si>
  <si>
    <t>Bono GASCO</t>
  </si>
  <si>
    <t>RED SALUD</t>
  </si>
  <si>
    <t>BREDS-E</t>
  </si>
  <si>
    <t>Red Salud</t>
  </si>
  <si>
    <t>Bono Red Salud</t>
  </si>
  <si>
    <t>RIPLEYCORP</t>
  </si>
  <si>
    <t>BRPLC-D</t>
  </si>
  <si>
    <t>Ripley Chile S.A.</t>
  </si>
  <si>
    <t>Bono Ripley</t>
  </si>
  <si>
    <t>AUTOMAIPO</t>
  </si>
  <si>
    <t>BAMAI-A1</t>
  </si>
  <si>
    <t>Ruta del Maipo Soc. Conc.</t>
  </si>
  <si>
    <t>Bono Autopista del Maipo</t>
  </si>
  <si>
    <t>AUTOVESNOR</t>
  </si>
  <si>
    <t>BAVNO-A1</t>
  </si>
  <si>
    <t>Soc. Conc. Vespucio Norte Express S.A.</t>
  </si>
  <si>
    <t>Bono Vespucio Norte Express</t>
  </si>
  <si>
    <t>UINT-C0310</t>
  </si>
  <si>
    <t>USECJ11206</t>
  </si>
  <si>
    <t>Bono Subordinado Banco Security</t>
  </si>
  <si>
    <t>BEMCA-J</t>
  </si>
  <si>
    <t>RIPLEY S.A</t>
  </si>
  <si>
    <t>BRPLY-E</t>
  </si>
  <si>
    <t>SANTA RITA</t>
  </si>
  <si>
    <t>BRITA-F</t>
  </si>
  <si>
    <t>Santa Rita S.A.</t>
  </si>
  <si>
    <t>Bono Santa Rita</t>
  </si>
  <si>
    <t>UBBV-G0506</t>
  </si>
  <si>
    <t>UBBVH90607</t>
  </si>
  <si>
    <t>UCNO-A1011</t>
  </si>
  <si>
    <t>Bono Subordinado Banco Consorcio</t>
  </si>
  <si>
    <t>UCNO-G0414</t>
  </si>
  <si>
    <t>UCNO-K1114</t>
  </si>
  <si>
    <t>UBICS30207</t>
  </si>
  <si>
    <t>Bono Subordinado BCI</t>
  </si>
  <si>
    <t>UINT-D0111</t>
  </si>
  <si>
    <t>USECJ20312</t>
  </si>
  <si>
    <t>USECJ31013</t>
  </si>
  <si>
    <t>BCELE-A</t>
  </si>
  <si>
    <t>BEMCA-P</t>
  </si>
  <si>
    <t>BGASC-D</t>
  </si>
  <si>
    <t>BGASC-H</t>
  </si>
  <si>
    <t>LAS CONDES</t>
  </si>
  <si>
    <t>BLCON-B</t>
  </si>
  <si>
    <t>Bono Clinica Las Condes</t>
  </si>
  <si>
    <t>MOLYMET</t>
  </si>
  <si>
    <t>BMOLY-C</t>
  </si>
  <si>
    <t>Bono Molymet</t>
  </si>
  <si>
    <t>RENTAS</t>
  </si>
  <si>
    <t>BRENT-C</t>
  </si>
  <si>
    <t>Sociedad de Rentas Comerciales S.A.</t>
  </si>
  <si>
    <t>Bono Sociedad de Rentas Comerciales</t>
  </si>
  <si>
    <t>BRPLC-F</t>
  </si>
  <si>
    <t>SECHOLDING</t>
  </si>
  <si>
    <t>BSECU-L3</t>
  </si>
  <si>
    <t>Security Holdings S.A.</t>
  </si>
  <si>
    <t>Bono Holding Security</t>
  </si>
  <si>
    <t>BSECU-M</t>
  </si>
  <si>
    <t>BSOQU-O</t>
  </si>
  <si>
    <t>SOUTHWATER</t>
  </si>
  <si>
    <t>BSWTR-E</t>
  </si>
  <si>
    <t>Inversiones Southwater Ltda</t>
  </si>
  <si>
    <t>Bono Inversiones Southwater</t>
  </si>
  <si>
    <t>BSWTR-I</t>
  </si>
  <si>
    <t>WATTS</t>
  </si>
  <si>
    <t>BWATT-L</t>
  </si>
  <si>
    <t>Watts</t>
  </si>
  <si>
    <t>Bono Watts S.A.</t>
  </si>
  <si>
    <t>AUTONORTE</t>
  </si>
  <si>
    <t>Autopista Norte</t>
  </si>
  <si>
    <t>BBANM-J</t>
  </si>
  <si>
    <t>UCOR-V0808</t>
  </si>
  <si>
    <t>Bono Subordinado Corpbanca</t>
  </si>
  <si>
    <t>UCORBI0710</t>
  </si>
  <si>
    <t>UCORBJ0710</t>
  </si>
  <si>
    <t>BCMPC-F</t>
  </si>
  <si>
    <t>Bono Empresas CMPC S.A.</t>
  </si>
  <si>
    <t>BCTOR-K</t>
  </si>
  <si>
    <t>BCOOE20315</t>
  </si>
  <si>
    <t>BNTRA-H</t>
  </si>
  <si>
    <t>Bono Transelec S.A.</t>
  </si>
  <si>
    <t>BQUIN-C</t>
  </si>
  <si>
    <t>BSALF-M</t>
  </si>
  <si>
    <t>Bono Salfacorp</t>
  </si>
  <si>
    <t>BCSMU-P</t>
  </si>
  <si>
    <t>Bono SMU S.A.</t>
  </si>
  <si>
    <t>LATAM AIR</t>
  </si>
  <si>
    <t>LATAIR0920</t>
  </si>
  <si>
    <t>Bono LATAM Airlines</t>
  </si>
  <si>
    <t>BCSMU-G</t>
  </si>
  <si>
    <t>BCSMU-K</t>
  </si>
  <si>
    <t>ENJOY</t>
  </si>
  <si>
    <t>Enjoy</t>
  </si>
  <si>
    <t>Bono Enjoy</t>
  </si>
  <si>
    <t>BENJO-E</t>
  </si>
  <si>
    <t>ENJOY0522</t>
  </si>
  <si>
    <t>HITES</t>
  </si>
  <si>
    <t>BHITS-C</t>
  </si>
  <si>
    <t>Bono Hites</t>
  </si>
  <si>
    <t>BLATM-A</t>
  </si>
  <si>
    <t>BMASI-E</t>
  </si>
  <si>
    <t>Bono Masisa</t>
  </si>
  <si>
    <t>MELIPILLA</t>
  </si>
  <si>
    <t>BMELI-A</t>
  </si>
  <si>
    <t>Soc. Concesionaria Melipilla S.A.</t>
  </si>
  <si>
    <t>Bono Autopista Melipilla</t>
  </si>
  <si>
    <t>NAVIERA</t>
  </si>
  <si>
    <t>BNAVI-A</t>
  </si>
  <si>
    <t>Empresas Navieras S.A.</t>
  </si>
  <si>
    <t>Bono Naviera</t>
  </si>
  <si>
    <t>VTR FIN</t>
  </si>
  <si>
    <t>LBTYA 0124</t>
  </si>
  <si>
    <t>VTR</t>
  </si>
  <si>
    <t>Bono VTR USD</t>
  </si>
  <si>
    <t>B+</t>
  </si>
  <si>
    <t>GEOPARK</t>
  </si>
  <si>
    <t>GEOPAR0924</t>
  </si>
  <si>
    <t>GeoPark</t>
  </si>
  <si>
    <t>Bono GeoPark</t>
  </si>
  <si>
    <t>BMASI-L</t>
  </si>
  <si>
    <t>BLATM-B</t>
  </si>
  <si>
    <t>FNSBLE</t>
  </si>
  <si>
    <t>Servicios Agroindustriales Subsole</t>
  </si>
  <si>
    <t>Factura Servicios Agroindustriales Subsole</t>
  </si>
  <si>
    <t>Factura</t>
  </si>
  <si>
    <t>BSAES-I</t>
  </si>
  <si>
    <t>BADRT-A</t>
  </si>
  <si>
    <t>AD Retail S.A.</t>
  </si>
  <si>
    <t>BADRT-B</t>
  </si>
  <si>
    <t>BADRT-C</t>
  </si>
  <si>
    <t>BBANV-A</t>
  </si>
  <si>
    <t>BBESA-A</t>
  </si>
  <si>
    <t>BDRMS-B</t>
  </si>
  <si>
    <t>BENJO-F</t>
  </si>
  <si>
    <t>BGENE-N</t>
  </si>
  <si>
    <t>BHITS-B</t>
  </si>
  <si>
    <t>BINGE-A</t>
  </si>
  <si>
    <t>BIPSL-A</t>
  </si>
  <si>
    <t>BLATM-C</t>
  </si>
  <si>
    <t>BLATM-D</t>
  </si>
  <si>
    <t>BMASI-H</t>
  </si>
  <si>
    <t>BMASI-N</t>
  </si>
  <si>
    <t>BRPLC-H</t>
  </si>
  <si>
    <t>BRPLC-J</t>
  </si>
  <si>
    <t>BSALF-B</t>
  </si>
  <si>
    <t>BSALF-G</t>
  </si>
  <si>
    <t>BSECS-11E2</t>
  </si>
  <si>
    <t>BSECS-14D1</t>
  </si>
  <si>
    <t>BSECS-6AA1</t>
  </si>
  <si>
    <t>BSECS-9D1</t>
  </si>
  <si>
    <t>BSTDS-AF</t>
  </si>
  <si>
    <t>BSTDS-BF</t>
  </si>
  <si>
    <t>BTRA1-7B</t>
  </si>
  <si>
    <t>BWATT-I</t>
  </si>
  <si>
    <t>FWDCLUS41118</t>
  </si>
  <si>
    <t>FWDCLUS42718</t>
  </si>
  <si>
    <t>FWDCLUS61318</t>
  </si>
  <si>
    <t>FWDCLUS62918</t>
  </si>
  <si>
    <t>FWDCLUS81018</t>
  </si>
  <si>
    <t>FWDCLUS81418</t>
  </si>
  <si>
    <t>FWDUSCL41118</t>
  </si>
  <si>
    <t>FWDUSCL42718</t>
  </si>
  <si>
    <t>FWDUSCL62918</t>
  </si>
  <si>
    <t>FWDUSCL81418</t>
  </si>
  <si>
    <t>UBBV-A1203</t>
  </si>
  <si>
    <t>BBBVI20517</t>
  </si>
  <si>
    <t>BBCIC30717</t>
  </si>
  <si>
    <t>BBCIL20616</t>
  </si>
  <si>
    <t>BCAJAC0118</t>
  </si>
  <si>
    <t>BCHIBI1115</t>
  </si>
  <si>
    <t>BCHIBJ0915</t>
  </si>
  <si>
    <t>BCHIBN1015</t>
  </si>
  <si>
    <t>BCHIEA0617</t>
  </si>
  <si>
    <t>BCNOAL0317</t>
  </si>
  <si>
    <t>BCORAL0710</t>
  </si>
  <si>
    <t>BELME-D</t>
  </si>
  <si>
    <t>BESVA-H</t>
  </si>
  <si>
    <t>BFAL-G1217</t>
  </si>
  <si>
    <t>BMETR-A</t>
  </si>
  <si>
    <t xml:space="preserve">MOLYMET   </t>
  </si>
  <si>
    <t>BSECS-14A1</t>
  </si>
  <si>
    <t>BTSUR-L</t>
  </si>
  <si>
    <t>VIVOCORP</t>
  </si>
  <si>
    <t>BVIVO-B</t>
  </si>
  <si>
    <t>Vivo Corp</t>
  </si>
  <si>
    <t>Bono Vivo Corp</t>
  </si>
  <si>
    <t>BVIVO-C</t>
  </si>
  <si>
    <t>BUDC-B</t>
  </si>
  <si>
    <t>BCSMU-B</t>
  </si>
  <si>
    <t>BSDSU-D</t>
  </si>
  <si>
    <t>UBICS50314</t>
  </si>
  <si>
    <t>UBICS60216</t>
  </si>
  <si>
    <t>BBANM-G</t>
  </si>
  <si>
    <t>BBBVI30417</t>
  </si>
  <si>
    <t>BBBVI40517</t>
  </si>
  <si>
    <t>BBCIC40717</t>
  </si>
  <si>
    <t>BBCID21117</t>
  </si>
  <si>
    <t>BCHIBP1215</t>
  </si>
  <si>
    <t>BCHIEF1117</t>
  </si>
  <si>
    <t>BCOLB-C</t>
  </si>
  <si>
    <t>BCORAQ0710</t>
  </si>
  <si>
    <t>BCORBY0914</t>
  </si>
  <si>
    <t>BESTA30400</t>
  </si>
  <si>
    <t>BESTQ50816</t>
  </si>
  <si>
    <t>BESTR50517</t>
  </si>
  <si>
    <t>BESTS40317</t>
  </si>
  <si>
    <t>BESTT40617</t>
  </si>
  <si>
    <t>BINT-H0617</t>
  </si>
  <si>
    <t>BITA-Y0613</t>
  </si>
  <si>
    <t>BMETR-B</t>
  </si>
  <si>
    <t>BSAES-J</t>
  </si>
  <si>
    <t>BSECB60417</t>
  </si>
  <si>
    <t>BSTD110216</t>
  </si>
  <si>
    <t>BINCO-A</t>
  </si>
  <si>
    <t>UCNO-Y0117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</si>
</sst>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$&quot;* #,##0.00_-;\-&quot;$&quot;* #,##0.00_-;_-&quot;$&quot;* &quot;-&quot;??_-;_-@_-"/>
    <numFmt numFmtId="165" formatCode="#,##0.00%;[Red]\(#,##0.00%\)"/>
    <numFmt numFmtId="166" formatCode="&quot;$&quot;##,##0.000,\ &quot; MM&quot;;[Red]\(&quot;$&quot;##,##0.000,\ &quot; MM&quot;\)"/>
    <numFmt numFmtId="167" formatCode="#,##0.0%;\(#,##0.0%\)"/>
    <numFmt numFmtId="168" formatCode="0.000000000000000000%"/>
    <numFmt numFmtId="169" formatCode="#,##0.0%;[Red]\(#,##0.0%\)"/>
    <numFmt numFmtId="170" formatCode="0.00000000"/>
    <numFmt numFmtId="171" formatCode="0.000%"/>
    <numFmt numFmtId="172" formatCode="0.000000%"/>
  </numFmts>
  <fonts count="5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u/>
      <sz val="24"/>
      <color theme="1"/>
      <name val="Arial"/>
      <family val="2"/>
      <scheme val="minor"/>
    </font>
    <font>
      <b/>
      <sz val="24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sz val="11"/>
      <color theme="1"/>
      <name val="Calibri"/>
      <family val="2"/>
    </font>
    <font>
      <b/>
      <sz val="22"/>
      <color theme="3"/>
      <name val="Calibri"/>
      <family val="2"/>
    </font>
    <font>
      <sz val="28"/>
      <color theme="1"/>
      <name val="Calibri"/>
      <family val="2"/>
    </font>
    <font>
      <b/>
      <sz val="48"/>
      <color theme="3"/>
      <name val="Calibri"/>
      <family val="2"/>
    </font>
    <font>
      <b/>
      <sz val="28"/>
      <color theme="1"/>
      <name val="Calibri"/>
      <family val="2"/>
    </font>
    <font>
      <b/>
      <sz val="20"/>
      <color theme="1"/>
      <name val="Calibri"/>
      <family val="2"/>
    </font>
    <font>
      <b/>
      <sz val="24"/>
      <color theme="1"/>
      <name val="Calibri"/>
      <family val="2"/>
    </font>
    <font>
      <b/>
      <sz val="24"/>
      <color theme="4"/>
      <name val="Calibri"/>
      <family val="2"/>
    </font>
    <font>
      <b/>
      <sz val="48"/>
      <color theme="4"/>
      <name val="Calibri"/>
      <family val="2"/>
    </font>
    <font>
      <sz val="26"/>
      <color theme="1"/>
      <name val="Calibri"/>
      <family val="2"/>
    </font>
    <font>
      <sz val="11"/>
      <color theme="1"/>
      <name val="Arial Narrow"/>
      <family val="2"/>
    </font>
    <font>
      <b/>
      <sz val="36"/>
      <color theme="3"/>
      <name val="Arial Narrow"/>
      <family val="2"/>
    </font>
    <font>
      <sz val="20"/>
      <color theme="1"/>
      <name val="Arial Narrow"/>
      <family val="2"/>
    </font>
    <font>
      <b/>
      <sz val="16"/>
      <color theme="0"/>
      <name val="Arial Narrow"/>
      <family val="2"/>
    </font>
    <font>
      <b/>
      <sz val="14"/>
      <color theme="0"/>
      <name val="Arial Narrow"/>
      <family val="2"/>
    </font>
    <font>
      <sz val="16"/>
      <color theme="1"/>
      <name val="Arial Narrow"/>
      <family val="2"/>
    </font>
    <font>
      <b/>
      <sz val="16"/>
      <color theme="1"/>
      <name val="Arial Narrow"/>
      <family val="2"/>
    </font>
    <font>
      <b/>
      <sz val="22"/>
      <color theme="3"/>
      <name val="Arial Narrow"/>
      <family val="2"/>
    </font>
    <font>
      <b/>
      <sz val="11"/>
      <color theme="4"/>
      <name val="Arial Narrow"/>
      <family val="2"/>
    </font>
    <font>
      <sz val="36"/>
      <color theme="1"/>
      <name val="Arial Narrow"/>
      <family val="2"/>
    </font>
    <font>
      <b/>
      <sz val="48"/>
      <color theme="1"/>
      <name val="Arial Narrow"/>
      <family val="2"/>
    </font>
    <font>
      <b/>
      <sz val="48"/>
      <color theme="4"/>
      <name val="Arial Narrow"/>
      <family val="2"/>
    </font>
    <font>
      <b/>
      <u/>
      <sz val="36"/>
      <color theme="1"/>
      <name val="Arial Narrow"/>
      <family val="2"/>
    </font>
    <font>
      <b/>
      <sz val="28"/>
      <color theme="1"/>
      <name val="Arial Narrow"/>
      <family val="2"/>
    </font>
    <font>
      <b/>
      <sz val="24"/>
      <color theme="1"/>
      <name val="Arial Narrow"/>
      <family val="2"/>
    </font>
    <font>
      <b/>
      <sz val="20"/>
      <color theme="1"/>
      <name val="Arial Narrow"/>
      <family val="2"/>
    </font>
    <font>
      <sz val="26"/>
      <color theme="1"/>
      <name val="Arial Narrow"/>
      <family val="2"/>
    </font>
    <font>
      <b/>
      <u/>
      <sz val="22"/>
      <color theme="1"/>
      <name val="Arial Narrow"/>
      <family val="2"/>
    </font>
    <font>
      <sz val="22"/>
      <color theme="1"/>
      <name val="Arial Narrow"/>
      <family val="2"/>
    </font>
    <font>
      <b/>
      <sz val="36"/>
      <color theme="1"/>
      <name val="Arial Narrow"/>
      <family val="2"/>
    </font>
    <font>
      <b/>
      <sz val="18"/>
      <color theme="1"/>
      <name val="Arial Narrow"/>
      <family val="2"/>
    </font>
    <font>
      <sz val="10"/>
      <color theme="1"/>
      <name val="Arial Narrow"/>
      <family val="2"/>
    </font>
    <font>
      <b/>
      <sz val="24"/>
      <color theme="3"/>
      <name val="Arial Narrow"/>
      <family val="2"/>
    </font>
    <font>
      <b/>
      <sz val="11"/>
      <color theme="3"/>
      <name val="Arial Narrow"/>
      <family val="2"/>
    </font>
    <font>
      <b/>
      <sz val="24"/>
      <color theme="4"/>
      <name val="Arial Narrow"/>
      <family val="2"/>
    </font>
    <font>
      <b/>
      <sz val="72"/>
      <color theme="3"/>
      <name val="Arial Narrow"/>
      <family val="2"/>
    </font>
    <font>
      <sz val="28"/>
      <color theme="1"/>
      <name val="Arial Narrow"/>
      <family val="2"/>
    </font>
    <font>
      <sz val="24"/>
      <color theme="1"/>
      <name val="Arial Narrow"/>
      <family val="2"/>
    </font>
    <font>
      <b/>
      <sz val="90"/>
      <color theme="3"/>
      <name val="Arial Narrow"/>
      <family val="2"/>
    </font>
    <font>
      <sz val="64"/>
      <color theme="1"/>
      <name val="Arial Narrow"/>
      <family val="2"/>
    </font>
    <font>
      <sz val="12"/>
      <color theme="1"/>
      <name val="Arial Narrow"/>
      <family val="2"/>
    </font>
    <font>
      <b/>
      <sz val="72"/>
      <color theme="4"/>
      <name val="Arial Narrow"/>
      <family val="2"/>
    </font>
    <font>
      <b/>
      <u/>
      <sz val="48"/>
      <color theme="1"/>
      <name val="Arial Narrow"/>
      <family val="2"/>
    </font>
    <font>
      <b/>
      <sz val="72"/>
      <color theme="1"/>
      <name val="Arial Narrow"/>
      <family val="2"/>
    </font>
    <font>
      <sz val="48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39997558519241921"/>
      </left>
      <right style="thin">
        <color indexed="64"/>
      </right>
      <top style="thin">
        <color theme="1" tint="0.39997558519241921"/>
      </top>
      <bottom style="thin">
        <color theme="1" tint="0.39997558519241921"/>
      </bottom>
      <diagonal/>
    </border>
    <border>
      <left style="thin">
        <color theme="1" tint="0.39997558519241921"/>
      </left>
      <right style="thin">
        <color indexed="64"/>
      </right>
      <top style="thin">
        <color theme="1" tint="0.39997558519241921"/>
      </top>
      <bottom style="thin">
        <color indexed="64"/>
      </bottom>
      <diagonal/>
    </border>
    <border>
      <left style="thin">
        <color theme="1" tint="0.39997558519241921"/>
      </left>
      <right style="thin">
        <color indexed="64"/>
      </right>
      <top style="thin">
        <color indexed="64"/>
      </top>
      <bottom style="thin">
        <color theme="1" tint="0.39997558519241921"/>
      </bottom>
      <diagonal/>
    </border>
    <border>
      <left style="thin">
        <color theme="1" tint="0.39997558519241921"/>
      </left>
      <right style="thin">
        <color indexed="64"/>
      </right>
      <top/>
      <bottom style="thin">
        <color theme="1" tint="0.39997558519241921"/>
      </bottom>
      <diagonal/>
    </border>
    <border>
      <left style="thin">
        <color indexed="64"/>
      </left>
      <right style="thin">
        <color theme="1" tint="0.39997558519241921"/>
      </right>
      <top style="thin">
        <color indexed="64"/>
      </top>
      <bottom style="thin">
        <color theme="1" tint="0.39997558519241921"/>
      </bottom>
      <diagonal/>
    </border>
    <border>
      <left style="thin">
        <color indexed="64"/>
      </left>
      <right style="thin">
        <color theme="1" tint="0.39997558519241921"/>
      </right>
      <top style="thin">
        <color theme="1" tint="0.39997558519241921"/>
      </top>
      <bottom style="thin">
        <color theme="1" tint="0.39997558519241921"/>
      </bottom>
      <diagonal/>
    </border>
    <border>
      <left style="thin">
        <color indexed="64"/>
      </left>
      <right style="thin">
        <color theme="1" tint="0.39997558519241921"/>
      </right>
      <top style="thin">
        <color theme="1" tint="0.39997558519241921"/>
      </top>
      <bottom style="thin">
        <color indexed="64"/>
      </bottom>
      <diagonal/>
    </border>
    <border>
      <left style="thin">
        <color theme="1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999755851924192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39997558519241921"/>
      </right>
      <top/>
      <bottom style="thin">
        <color theme="1" tint="0.39997558519241921"/>
      </bottom>
      <diagonal/>
    </border>
    <border>
      <left style="thin">
        <color indexed="64"/>
      </left>
      <right style="thin">
        <color theme="1" tint="0.399975585192419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3999755851924192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0" borderId="24" applyNumberFormat="0" applyFill="0" applyAlignment="0" applyProtection="0"/>
  </cellStyleXfs>
  <cellXfs count="195">
    <xf numFmtId="0" fontId="0" fillId="0" borderId="0" xfId="0"/>
    <xf numFmtId="1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/>
    <xf numFmtId="10" fontId="0" fillId="0" borderId="0" xfId="2" applyNumberFormat="1" applyFont="1"/>
    <xf numFmtId="0" fontId="0" fillId="0" borderId="0" xfId="0" applyNumberFormat="1"/>
    <xf numFmtId="2" fontId="0" fillId="0" borderId="0" xfId="2" applyNumberFormat="1" applyFont="1"/>
    <xf numFmtId="10" fontId="0" fillId="0" borderId="0" xfId="0" applyNumberFormat="1"/>
    <xf numFmtId="0" fontId="0" fillId="0" borderId="0" xfId="0" applyAlignment="1">
      <alignment wrapText="1"/>
    </xf>
    <xf numFmtId="0" fontId="6" fillId="0" borderId="0" xfId="0" applyFont="1"/>
    <xf numFmtId="49" fontId="6" fillId="0" borderId="0" xfId="0" applyNumberFormat="1" applyFont="1"/>
    <xf numFmtId="0" fontId="11" fillId="0" borderId="25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7" fillId="0" borderId="25" xfId="6" applyFont="1" applyBorder="1" applyAlignment="1">
      <alignment vertical="center"/>
    </xf>
    <xf numFmtId="0" fontId="13" fillId="0" borderId="0" xfId="0" applyFont="1"/>
    <xf numFmtId="0" fontId="14" fillId="0" borderId="25" xfId="0" applyFont="1" applyBorder="1"/>
    <xf numFmtId="165" fontId="15" fillId="0" borderId="0" xfId="2" applyNumberFormat="1" applyFont="1" applyAlignment="1">
      <alignment horizontal="center" vertical="center"/>
    </xf>
    <xf numFmtId="2" fontId="15" fillId="0" borderId="0" xfId="0" applyNumberFormat="1" applyFont="1" applyAlignment="1">
      <alignment horizontal="center"/>
    </xf>
    <xf numFmtId="165" fontId="15" fillId="0" borderId="26" xfId="2" applyNumberFormat="1" applyFont="1" applyBorder="1" applyAlignment="1">
      <alignment horizontal="center" vertical="center"/>
    </xf>
    <xf numFmtId="166" fontId="15" fillId="0" borderId="0" xfId="2" applyNumberFormat="1" applyFont="1" applyAlignment="1">
      <alignment horizontal="center" vertical="center"/>
    </xf>
    <xf numFmtId="166" fontId="15" fillId="0" borderId="26" xfId="2" applyNumberFormat="1" applyFont="1" applyBorder="1" applyAlignment="1">
      <alignment horizontal="center" vertical="center"/>
    </xf>
    <xf numFmtId="0" fontId="16" fillId="0" borderId="0" xfId="0" applyFont="1"/>
    <xf numFmtId="0" fontId="21" fillId="5" borderId="2" xfId="5" applyFont="1" applyBorder="1" applyAlignment="1">
      <alignment horizontal="center" vertical="center"/>
    </xf>
    <xf numFmtId="165" fontId="21" fillId="0" borderId="8" xfId="2" applyNumberFormat="1" applyFont="1" applyBorder="1" applyAlignment="1">
      <alignment horizontal="center" vertical="center"/>
    </xf>
    <xf numFmtId="165" fontId="21" fillId="0" borderId="6" xfId="2" applyNumberFormat="1" applyFont="1" applyBorder="1" applyAlignment="1">
      <alignment horizontal="center" vertical="center"/>
    </xf>
    <xf numFmtId="170" fontId="16" fillId="0" borderId="0" xfId="0" applyNumberFormat="1" applyFont="1"/>
    <xf numFmtId="165" fontId="21" fillId="0" borderId="9" xfId="2" applyNumberFormat="1" applyFont="1" applyBorder="1" applyAlignment="1">
      <alignment horizontal="center" vertical="center"/>
    </xf>
    <xf numFmtId="165" fontId="21" fillId="0" borderId="4" xfId="2" applyNumberFormat="1" applyFont="1" applyBorder="1" applyAlignment="1">
      <alignment horizontal="center" vertical="center"/>
    </xf>
    <xf numFmtId="165" fontId="21" fillId="0" borderId="10" xfId="2" applyNumberFormat="1" applyFont="1" applyBorder="1" applyAlignment="1">
      <alignment horizontal="center" vertical="center"/>
    </xf>
    <xf numFmtId="165" fontId="21" fillId="0" borderId="5" xfId="2" applyNumberFormat="1" applyFont="1" applyBorder="1" applyAlignment="1">
      <alignment horizontal="center" vertical="center"/>
    </xf>
    <xf numFmtId="49" fontId="21" fillId="5" borderId="2" xfId="5" applyNumberFormat="1" applyFont="1" applyBorder="1" applyAlignment="1">
      <alignment horizontal="center" vertical="center"/>
    </xf>
    <xf numFmtId="49" fontId="21" fillId="5" borderId="3" xfId="5" applyNumberFormat="1" applyFont="1" applyBorder="1" applyAlignment="1">
      <alignment horizontal="center" vertical="center"/>
    </xf>
    <xf numFmtId="165" fontId="21" fillId="0" borderId="14" xfId="2" applyNumberFormat="1" applyFont="1" applyBorder="1" applyAlignment="1">
      <alignment horizontal="center" vertical="center"/>
    </xf>
    <xf numFmtId="165" fontId="21" fillId="0" borderId="7" xfId="2" applyNumberFormat="1" applyFont="1" applyBorder="1" applyAlignment="1">
      <alignment horizontal="center" vertical="center"/>
    </xf>
    <xf numFmtId="172" fontId="16" fillId="0" borderId="0" xfId="2" applyNumberFormat="1" applyFont="1"/>
    <xf numFmtId="165" fontId="21" fillId="0" borderId="15" xfId="2" applyNumberFormat="1" applyFont="1" applyBorder="1" applyAlignment="1">
      <alignment horizontal="center" vertical="center"/>
    </xf>
    <xf numFmtId="165" fontId="21" fillId="0" borderId="11" xfId="2" applyNumberFormat="1" applyFont="1" applyBorder="1" applyAlignment="1">
      <alignment horizontal="center" vertical="center"/>
    </xf>
    <xf numFmtId="169" fontId="22" fillId="0" borderId="16" xfId="2" applyNumberFormat="1" applyFont="1" applyBorder="1" applyAlignment="1">
      <alignment horizontal="center" vertical="center"/>
    </xf>
    <xf numFmtId="169" fontId="22" fillId="0" borderId="12" xfId="2" applyNumberFormat="1" applyFont="1" applyBorder="1" applyAlignment="1">
      <alignment horizontal="center" vertical="center"/>
    </xf>
    <xf numFmtId="165" fontId="21" fillId="0" borderId="12" xfId="2" applyNumberFormat="1" applyFont="1" applyBorder="1" applyAlignment="1">
      <alignment horizontal="center" vertical="center"/>
    </xf>
    <xf numFmtId="165" fontId="21" fillId="0" borderId="16" xfId="2" applyNumberFormat="1" applyFont="1" applyBorder="1" applyAlignment="1">
      <alignment horizontal="center" vertical="center"/>
    </xf>
    <xf numFmtId="49" fontId="16" fillId="0" borderId="0" xfId="0" applyNumberFormat="1" applyFont="1"/>
    <xf numFmtId="171" fontId="16" fillId="0" borderId="0" xfId="2" applyNumberFormat="1" applyFont="1"/>
    <xf numFmtId="0" fontId="24" fillId="0" borderId="0" xfId="0" applyFont="1"/>
    <xf numFmtId="164" fontId="16" fillId="0" borderId="0" xfId="1" applyFont="1"/>
    <xf numFmtId="0" fontId="26" fillId="0" borderId="0" xfId="0" applyFont="1" applyBorder="1"/>
    <xf numFmtId="0" fontId="16" fillId="0" borderId="0" xfId="0" applyFont="1" applyBorder="1" applyAlignment="1">
      <alignment horizontal="center" vertical="center"/>
    </xf>
    <xf numFmtId="0" fontId="27" fillId="0" borderId="25" xfId="0" applyFont="1" applyBorder="1"/>
    <xf numFmtId="0" fontId="16" fillId="0" borderId="25" xfId="0" applyFont="1" applyBorder="1"/>
    <xf numFmtId="0" fontId="28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30" fillId="0" borderId="28" xfId="0" applyFont="1" applyBorder="1"/>
    <xf numFmtId="0" fontId="30" fillId="0" borderId="25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168" fontId="16" fillId="0" borderId="0" xfId="0" applyNumberFormat="1" applyFont="1"/>
    <xf numFmtId="0" fontId="30" fillId="0" borderId="27" xfId="0" applyFont="1" applyBorder="1" applyAlignment="1">
      <alignment vertical="center"/>
    </xf>
    <xf numFmtId="165" fontId="32" fillId="0" borderId="0" xfId="2" applyNumberFormat="1" applyFont="1" applyAlignment="1">
      <alignment horizontal="center" vertical="center"/>
    </xf>
    <xf numFmtId="166" fontId="32" fillId="0" borderId="0" xfId="0" applyNumberFormat="1" applyFont="1" applyAlignment="1">
      <alignment horizontal="center"/>
    </xf>
    <xf numFmtId="2" fontId="32" fillId="0" borderId="0" xfId="0" applyNumberFormat="1" applyFont="1" applyAlignment="1">
      <alignment horizontal="center"/>
    </xf>
    <xf numFmtId="0" fontId="30" fillId="0" borderId="27" xfId="0" applyFont="1" applyBorder="1" applyAlignment="1">
      <alignment horizontal="center" vertical="center"/>
    </xf>
    <xf numFmtId="0" fontId="18" fillId="0" borderId="0" xfId="0" applyFont="1"/>
    <xf numFmtId="0" fontId="33" fillId="0" borderId="0" xfId="0" applyFont="1" applyAlignment="1">
      <alignment vertical="center"/>
    </xf>
    <xf numFmtId="165" fontId="34" fillId="0" borderId="0" xfId="2" applyNumberFormat="1" applyFont="1" applyAlignment="1">
      <alignment horizontal="center" vertical="center"/>
    </xf>
    <xf numFmtId="0" fontId="30" fillId="0" borderId="29" xfId="0" applyFont="1" applyBorder="1" applyAlignment="1">
      <alignment vertical="center"/>
    </xf>
    <xf numFmtId="165" fontId="32" fillId="0" borderId="26" xfId="2" applyNumberFormat="1" applyFont="1" applyBorder="1" applyAlignment="1">
      <alignment horizontal="center" vertical="center"/>
    </xf>
    <xf numFmtId="166" fontId="32" fillId="0" borderId="26" xfId="0" applyNumberFormat="1" applyFont="1" applyBorder="1" applyAlignment="1">
      <alignment horizontal="center" vertical="center"/>
    </xf>
    <xf numFmtId="2" fontId="32" fillId="0" borderId="26" xfId="0" applyNumberFormat="1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16" fillId="0" borderId="0" xfId="0" applyFont="1" applyBorder="1"/>
    <xf numFmtId="0" fontId="36" fillId="0" borderId="0" xfId="0" applyFont="1" applyBorder="1" applyAlignment="1">
      <alignment horizontal="center" vertical="center"/>
    </xf>
    <xf numFmtId="0" fontId="30" fillId="0" borderId="29" xfId="0" applyFont="1" applyBorder="1" applyAlignment="1">
      <alignment horizontal="center" vertical="center"/>
    </xf>
    <xf numFmtId="0" fontId="30" fillId="0" borderId="26" xfId="0" applyFont="1" applyBorder="1" applyAlignment="1">
      <alignment horizontal="center" vertical="center"/>
    </xf>
    <xf numFmtId="167" fontId="32" fillId="0" borderId="30" xfId="2" applyNumberFormat="1" applyFont="1" applyBorder="1" applyAlignment="1">
      <alignment horizontal="center" vertical="center"/>
    </xf>
    <xf numFmtId="167" fontId="32" fillId="0" borderId="26" xfId="2" applyNumberFormat="1" applyFont="1" applyBorder="1" applyAlignment="1">
      <alignment horizontal="center" vertical="center"/>
    </xf>
    <xf numFmtId="167" fontId="32" fillId="0" borderId="33" xfId="2" applyNumberFormat="1" applyFont="1" applyBorder="1" applyAlignment="1">
      <alignment horizontal="center" vertical="center"/>
    </xf>
    <xf numFmtId="2" fontId="32" fillId="0" borderId="30" xfId="2" applyNumberFormat="1" applyFont="1" applyBorder="1" applyAlignment="1">
      <alignment horizontal="center" vertical="center"/>
    </xf>
    <xf numFmtId="2" fontId="32" fillId="0" borderId="26" xfId="2" applyNumberFormat="1" applyFont="1" applyBorder="1" applyAlignment="1">
      <alignment horizontal="center" vertical="center"/>
    </xf>
    <xf numFmtId="2" fontId="32" fillId="0" borderId="33" xfId="2" applyNumberFormat="1" applyFont="1" applyBorder="1" applyAlignment="1">
      <alignment horizontal="center" vertical="center"/>
    </xf>
    <xf numFmtId="0" fontId="37" fillId="0" borderId="0" xfId="0" applyFont="1"/>
    <xf numFmtId="0" fontId="30" fillId="0" borderId="0" xfId="0" applyFont="1" applyBorder="1" applyAlignment="1">
      <alignment horizontal="center" vertical="center"/>
    </xf>
    <xf numFmtId="167" fontId="32" fillId="0" borderId="31" xfId="2" applyNumberFormat="1" applyFont="1" applyBorder="1" applyAlignment="1">
      <alignment horizontal="center" vertical="center"/>
    </xf>
    <xf numFmtId="167" fontId="32" fillId="0" borderId="0" xfId="2" applyNumberFormat="1" applyFont="1" applyBorder="1" applyAlignment="1">
      <alignment horizontal="center" vertical="center"/>
    </xf>
    <xf numFmtId="167" fontId="32" fillId="0" borderId="34" xfId="2" applyNumberFormat="1" applyFont="1" applyBorder="1" applyAlignment="1">
      <alignment horizontal="center" vertical="center"/>
    </xf>
    <xf numFmtId="2" fontId="32" fillId="0" borderId="31" xfId="2" applyNumberFormat="1" applyFont="1" applyBorder="1" applyAlignment="1">
      <alignment horizontal="center" vertical="center"/>
    </xf>
    <xf numFmtId="2" fontId="32" fillId="0" borderId="0" xfId="2" applyNumberFormat="1" applyFont="1" applyBorder="1" applyAlignment="1">
      <alignment horizontal="center" vertical="center"/>
    </xf>
    <xf numFmtId="2" fontId="32" fillId="0" borderId="34" xfId="2" applyNumberFormat="1" applyFont="1" applyBorder="1" applyAlignment="1">
      <alignment horizontal="center" vertical="center"/>
    </xf>
    <xf numFmtId="167" fontId="32" fillId="0" borderId="32" xfId="2" applyNumberFormat="1" applyFont="1" applyBorder="1" applyAlignment="1">
      <alignment horizontal="center" vertical="center"/>
    </xf>
    <xf numFmtId="167" fontId="32" fillId="0" borderId="25" xfId="2" applyNumberFormat="1" applyFont="1" applyBorder="1" applyAlignment="1">
      <alignment horizontal="center" vertical="center"/>
    </xf>
    <xf numFmtId="167" fontId="32" fillId="0" borderId="35" xfId="2" applyNumberFormat="1" applyFont="1" applyBorder="1" applyAlignment="1">
      <alignment horizontal="center" vertical="center"/>
    </xf>
    <xf numFmtId="2" fontId="32" fillId="0" borderId="32" xfId="2" applyNumberFormat="1" applyFont="1" applyBorder="1" applyAlignment="1">
      <alignment horizontal="center" vertical="center"/>
    </xf>
    <xf numFmtId="2" fontId="32" fillId="0" borderId="25" xfId="2" applyNumberFormat="1" applyFont="1" applyBorder="1" applyAlignment="1">
      <alignment horizontal="center" vertical="center"/>
    </xf>
    <xf numFmtId="2" fontId="32" fillId="0" borderId="35" xfId="2" applyNumberFormat="1" applyFont="1" applyBorder="1" applyAlignment="1">
      <alignment horizontal="center" vertical="center"/>
    </xf>
    <xf numFmtId="0" fontId="36" fillId="0" borderId="25" xfId="0" applyFont="1" applyBorder="1" applyAlignment="1">
      <alignment horizontal="center" vertical="center"/>
    </xf>
    <xf numFmtId="0" fontId="38" fillId="0" borderId="0" xfId="0" applyFont="1"/>
    <xf numFmtId="0" fontId="39" fillId="0" borderId="0" xfId="0" applyFont="1"/>
    <xf numFmtId="0" fontId="30" fillId="0" borderId="33" xfId="0" applyFont="1" applyBorder="1" applyAlignment="1">
      <alignment horizontal="center" vertical="center"/>
    </xf>
    <xf numFmtId="167" fontId="32" fillId="3" borderId="26" xfId="2" applyNumberFormat="1" applyFont="1" applyFill="1" applyBorder="1" applyAlignment="1">
      <alignment horizontal="center" vertical="center"/>
    </xf>
    <xf numFmtId="167" fontId="32" fillId="3" borderId="29" xfId="2" applyNumberFormat="1" applyFont="1" applyFill="1" applyBorder="1" applyAlignment="1">
      <alignment horizontal="center" vertical="center"/>
    </xf>
    <xf numFmtId="0" fontId="30" fillId="0" borderId="34" xfId="0" applyFont="1" applyBorder="1" applyAlignment="1">
      <alignment horizontal="center" vertical="center"/>
    </xf>
    <xf numFmtId="167" fontId="32" fillId="3" borderId="0" xfId="2" applyNumberFormat="1" applyFont="1" applyFill="1" applyBorder="1" applyAlignment="1">
      <alignment horizontal="center" vertical="center"/>
    </xf>
    <xf numFmtId="167" fontId="32" fillId="3" borderId="27" xfId="2" applyNumberFormat="1" applyFont="1" applyFill="1" applyBorder="1" applyAlignment="1">
      <alignment horizontal="center" vertical="center"/>
    </xf>
    <xf numFmtId="0" fontId="30" fillId="0" borderId="35" xfId="0" applyFont="1" applyBorder="1" applyAlignment="1">
      <alignment horizontal="center" vertical="center"/>
    </xf>
    <xf numFmtId="167" fontId="32" fillId="3" borderId="25" xfId="2" applyNumberFormat="1" applyFont="1" applyFill="1" applyBorder="1" applyAlignment="1">
      <alignment horizontal="center" vertical="center"/>
    </xf>
    <xf numFmtId="167" fontId="32" fillId="3" borderId="28" xfId="2" applyNumberFormat="1" applyFont="1" applyFill="1" applyBorder="1" applyAlignment="1">
      <alignment horizontal="center" vertical="center"/>
    </xf>
    <xf numFmtId="0" fontId="16" fillId="0" borderId="0" xfId="0" applyFont="1" applyAlignment="1"/>
    <xf numFmtId="0" fontId="40" fillId="0" borderId="0" xfId="0" applyFont="1"/>
    <xf numFmtId="0" fontId="23" fillId="0" borderId="25" xfId="6" applyFont="1" applyBorder="1" applyAlignment="1">
      <alignment vertical="center"/>
    </xf>
    <xf numFmtId="167" fontId="32" fillId="3" borderId="30" xfId="2" applyNumberFormat="1" applyFont="1" applyFill="1" applyBorder="1" applyAlignment="1">
      <alignment horizontal="center" vertical="center"/>
    </xf>
    <xf numFmtId="2" fontId="32" fillId="3" borderId="30" xfId="2" applyNumberFormat="1" applyFont="1" applyFill="1" applyBorder="1" applyAlignment="1">
      <alignment horizontal="center" vertical="center"/>
    </xf>
    <xf numFmtId="2" fontId="32" fillId="3" borderId="26" xfId="2" applyNumberFormat="1" applyFont="1" applyFill="1" applyBorder="1" applyAlignment="1">
      <alignment horizontal="center" vertical="center"/>
    </xf>
    <xf numFmtId="2" fontId="32" fillId="3" borderId="29" xfId="2" applyNumberFormat="1" applyFont="1" applyFill="1" applyBorder="1" applyAlignment="1">
      <alignment horizontal="center" vertical="center"/>
    </xf>
    <xf numFmtId="167" fontId="32" fillId="3" borderId="31" xfId="2" applyNumberFormat="1" applyFont="1" applyFill="1" applyBorder="1" applyAlignment="1">
      <alignment horizontal="center" vertical="center"/>
    </xf>
    <xf numFmtId="167" fontId="32" fillId="0" borderId="27" xfId="2" applyNumberFormat="1" applyFont="1" applyBorder="1" applyAlignment="1">
      <alignment horizontal="center" vertical="center"/>
    </xf>
    <xf numFmtId="2" fontId="32" fillId="3" borderId="31" xfId="2" applyNumberFormat="1" applyFont="1" applyFill="1" applyBorder="1" applyAlignment="1">
      <alignment horizontal="center" vertical="center"/>
    </xf>
    <xf numFmtId="2" fontId="32" fillId="0" borderId="27" xfId="2" applyNumberFormat="1" applyFont="1" applyBorder="1" applyAlignment="1">
      <alignment horizontal="center" vertical="center"/>
    </xf>
    <xf numFmtId="2" fontId="32" fillId="3" borderId="0" xfId="2" applyNumberFormat="1" applyFont="1" applyFill="1" applyBorder="1" applyAlignment="1">
      <alignment horizontal="center" vertical="center"/>
    </xf>
    <xf numFmtId="2" fontId="32" fillId="3" borderId="27" xfId="2" applyNumberFormat="1" applyFont="1" applyFill="1" applyBorder="1" applyAlignment="1">
      <alignment horizontal="center" vertical="center"/>
    </xf>
    <xf numFmtId="167" fontId="32" fillId="3" borderId="32" xfId="2" applyNumberFormat="1" applyFont="1" applyFill="1" applyBorder="1" applyAlignment="1">
      <alignment horizontal="center" vertical="center"/>
    </xf>
    <xf numFmtId="167" fontId="32" fillId="0" borderId="28" xfId="2" applyNumberFormat="1" applyFont="1" applyBorder="1" applyAlignment="1">
      <alignment horizontal="center" vertical="center"/>
    </xf>
    <xf numFmtId="2" fontId="32" fillId="3" borderId="32" xfId="2" applyNumberFormat="1" applyFont="1" applyFill="1" applyBorder="1" applyAlignment="1">
      <alignment horizontal="center" vertical="center"/>
    </xf>
    <xf numFmtId="2" fontId="32" fillId="0" borderId="28" xfId="2" applyNumberFormat="1" applyFont="1" applyBorder="1" applyAlignment="1">
      <alignment horizontal="center" vertical="center"/>
    </xf>
    <xf numFmtId="167" fontId="32" fillId="0" borderId="29" xfId="2" applyNumberFormat="1" applyFont="1" applyBorder="1" applyAlignment="1">
      <alignment horizontal="center" vertical="center"/>
    </xf>
    <xf numFmtId="2" fontId="32" fillId="0" borderId="29" xfId="2" applyNumberFormat="1" applyFont="1" applyBorder="1" applyAlignment="1">
      <alignment horizontal="center" vertical="center"/>
    </xf>
    <xf numFmtId="167" fontId="43" fillId="0" borderId="0" xfId="2" applyNumberFormat="1" applyFont="1" applyBorder="1" applyAlignment="1">
      <alignment horizontal="center" vertical="center"/>
    </xf>
    <xf numFmtId="0" fontId="46" fillId="0" borderId="0" xfId="0" applyFont="1"/>
    <xf numFmtId="0" fontId="47" fillId="0" borderId="25" xfId="0" applyFont="1" applyBorder="1"/>
    <xf numFmtId="0" fontId="48" fillId="0" borderId="0" xfId="0" applyFont="1" applyBorder="1" applyAlignment="1">
      <alignment horizontal="left" vertical="center"/>
    </xf>
    <xf numFmtId="0" fontId="26" fillId="0" borderId="28" xfId="0" applyFont="1" applyBorder="1"/>
    <xf numFmtId="0" fontId="26" fillId="0" borderId="25" xfId="0" applyFont="1" applyBorder="1" applyAlignment="1">
      <alignment horizontal="center" vertical="center"/>
    </xf>
    <xf numFmtId="0" fontId="26" fillId="0" borderId="27" xfId="0" applyFont="1" applyBorder="1" applyAlignment="1">
      <alignment vertical="center"/>
    </xf>
    <xf numFmtId="165" fontId="50" fillId="0" borderId="0" xfId="2" applyNumberFormat="1" applyFont="1" applyAlignment="1">
      <alignment horizontal="center" vertical="center"/>
    </xf>
    <xf numFmtId="166" fontId="50" fillId="0" borderId="0" xfId="0" applyNumberFormat="1" applyFont="1" applyAlignment="1">
      <alignment horizontal="center"/>
    </xf>
    <xf numFmtId="2" fontId="50" fillId="0" borderId="0" xfId="0" applyNumberFormat="1" applyFont="1" applyAlignment="1">
      <alignment horizontal="center"/>
    </xf>
    <xf numFmtId="0" fontId="26" fillId="0" borderId="27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33" xfId="0" applyFont="1" applyBorder="1" applyAlignment="1">
      <alignment horizontal="center" vertical="center"/>
    </xf>
    <xf numFmtId="167" fontId="50" fillId="3" borderId="0" xfId="2" applyNumberFormat="1" applyFont="1" applyFill="1" applyBorder="1" applyAlignment="1">
      <alignment horizontal="center" vertical="center"/>
    </xf>
    <xf numFmtId="167" fontId="50" fillId="3" borderId="30" xfId="2" applyNumberFormat="1" applyFont="1" applyFill="1" applyBorder="1" applyAlignment="1">
      <alignment horizontal="center" vertical="center"/>
    </xf>
    <xf numFmtId="167" fontId="50" fillId="3" borderId="33" xfId="2" applyNumberFormat="1" applyFont="1" applyFill="1" applyBorder="1" applyAlignment="1">
      <alignment horizontal="center" vertical="center"/>
    </xf>
    <xf numFmtId="0" fontId="26" fillId="0" borderId="34" xfId="0" applyFont="1" applyBorder="1" applyAlignment="1">
      <alignment horizontal="center" vertical="center"/>
    </xf>
    <xf numFmtId="167" fontId="50" fillId="3" borderId="31" xfId="2" applyNumberFormat="1" applyFont="1" applyFill="1" applyBorder="1" applyAlignment="1">
      <alignment horizontal="center" vertical="center"/>
    </xf>
    <xf numFmtId="167" fontId="50" fillId="3" borderId="34" xfId="2" applyNumberFormat="1" applyFont="1" applyFill="1" applyBorder="1" applyAlignment="1">
      <alignment horizontal="center" vertical="center"/>
    </xf>
    <xf numFmtId="0" fontId="26" fillId="0" borderId="29" xfId="0" applyFont="1" applyBorder="1" applyAlignment="1">
      <alignment vertical="center"/>
    </xf>
    <xf numFmtId="165" fontId="50" fillId="0" borderId="26" xfId="2" applyNumberFormat="1" applyFont="1" applyBorder="1" applyAlignment="1">
      <alignment horizontal="center" vertical="center"/>
    </xf>
    <xf numFmtId="166" fontId="50" fillId="0" borderId="26" xfId="0" applyNumberFormat="1" applyFont="1" applyBorder="1" applyAlignment="1">
      <alignment horizontal="center" vertical="center"/>
    </xf>
    <xf numFmtId="2" fontId="50" fillId="0" borderId="26" xfId="0" applyNumberFormat="1" applyFont="1" applyBorder="1" applyAlignment="1">
      <alignment horizontal="center" vertical="center"/>
    </xf>
    <xf numFmtId="0" fontId="26" fillId="0" borderId="35" xfId="0" applyFont="1" applyBorder="1" applyAlignment="1">
      <alignment horizontal="center" vertical="center"/>
    </xf>
    <xf numFmtId="167" fontId="50" fillId="3" borderId="32" xfId="2" applyNumberFormat="1" applyFont="1" applyFill="1" applyBorder="1" applyAlignment="1">
      <alignment horizontal="center" vertical="center"/>
    </xf>
    <xf numFmtId="167" fontId="50" fillId="3" borderId="35" xfId="2" applyNumberFormat="1" applyFont="1" applyFill="1" applyBorder="1" applyAlignment="1">
      <alignment horizontal="center" vertical="center"/>
    </xf>
    <xf numFmtId="167" fontId="50" fillId="0" borderId="26" xfId="2" applyNumberFormat="1" applyFont="1" applyBorder="1" applyAlignment="1">
      <alignment horizontal="center" vertical="center"/>
    </xf>
    <xf numFmtId="167" fontId="50" fillId="0" borderId="29" xfId="2" applyNumberFormat="1" applyFont="1" applyBorder="1" applyAlignment="1">
      <alignment horizontal="center" vertical="center"/>
    </xf>
    <xf numFmtId="167" fontId="50" fillId="0" borderId="34" xfId="2" applyNumberFormat="1" applyFont="1" applyBorder="1" applyAlignment="1">
      <alignment horizontal="center" vertical="center"/>
    </xf>
    <xf numFmtId="0" fontId="19" fillId="2" borderId="22" xfId="3" applyFont="1" applyBorder="1" applyAlignment="1">
      <alignment horizontal="center"/>
    </xf>
    <xf numFmtId="0" fontId="19" fillId="2" borderId="23" xfId="3" applyFont="1" applyBorder="1" applyAlignment="1">
      <alignment horizontal="center"/>
    </xf>
    <xf numFmtId="0" fontId="19" fillId="2" borderId="13" xfId="3" applyFont="1" applyBorder="1" applyAlignment="1">
      <alignment horizontal="center"/>
    </xf>
    <xf numFmtId="0" fontId="19" fillId="2" borderId="2" xfId="3" applyFont="1" applyBorder="1" applyAlignment="1">
      <alignment horizontal="center"/>
    </xf>
    <xf numFmtId="49" fontId="21" fillId="5" borderId="2" xfId="5" applyNumberFormat="1" applyFont="1" applyBorder="1" applyAlignment="1">
      <alignment horizontal="center" vertical="center" textRotation="90"/>
    </xf>
    <xf numFmtId="0" fontId="19" fillId="2" borderId="2" xfId="3" applyFont="1" applyBorder="1" applyAlignment="1">
      <alignment horizontal="center" vertical="center" textRotation="90"/>
    </xf>
    <xf numFmtId="49" fontId="21" fillId="5" borderId="2" xfId="5" applyNumberFormat="1" applyFont="1" applyBorder="1" applyAlignment="1">
      <alignment horizontal="center" vertical="center"/>
    </xf>
    <xf numFmtId="49" fontId="21" fillId="5" borderId="3" xfId="5" applyNumberFormat="1" applyFont="1" applyBorder="1" applyAlignment="1">
      <alignment horizontal="center" vertical="center" textRotation="90"/>
    </xf>
    <xf numFmtId="0" fontId="20" fillId="2" borderId="2" xfId="3" applyFont="1" applyBorder="1" applyAlignment="1">
      <alignment horizontal="center" vertical="center"/>
    </xf>
    <xf numFmtId="0" fontId="19" fillId="6" borderId="3" xfId="4" applyFont="1" applyFill="1" applyBorder="1" applyAlignment="1">
      <alignment horizontal="center"/>
    </xf>
    <xf numFmtId="0" fontId="19" fillId="2" borderId="17" xfId="3" applyFont="1" applyBorder="1" applyAlignment="1">
      <alignment horizontal="center" vertical="center"/>
    </xf>
    <xf numFmtId="0" fontId="19" fillId="2" borderId="18" xfId="3" applyFont="1" applyBorder="1" applyAlignment="1">
      <alignment horizontal="center" vertical="center"/>
    </xf>
    <xf numFmtId="0" fontId="19" fillId="2" borderId="19" xfId="3" applyFont="1" applyBorder="1" applyAlignment="1">
      <alignment horizontal="center" vertical="center"/>
    </xf>
    <xf numFmtId="0" fontId="19" fillId="2" borderId="20" xfId="3" applyFont="1" applyBorder="1" applyAlignment="1">
      <alignment horizontal="center" vertical="center"/>
    </xf>
    <xf numFmtId="0" fontId="19" fillId="2" borderId="1" xfId="3" applyFont="1" applyBorder="1" applyAlignment="1">
      <alignment horizontal="center" vertical="center"/>
    </xf>
    <xf numFmtId="0" fontId="19" fillId="2" borderId="21" xfId="3" applyFont="1" applyBorder="1" applyAlignment="1">
      <alignment horizontal="center" vertical="center"/>
    </xf>
    <xf numFmtId="0" fontId="20" fillId="2" borderId="13" xfId="3" applyFont="1" applyBorder="1" applyAlignment="1">
      <alignment horizontal="center" vertical="center"/>
    </xf>
    <xf numFmtId="0" fontId="17" fillId="0" borderId="25" xfId="6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23" fillId="0" borderId="25" xfId="6" applyFont="1" applyBorder="1" applyAlignment="1">
      <alignment horizontal="center" vertical="center"/>
    </xf>
    <xf numFmtId="0" fontId="41" fillId="0" borderId="25" xfId="6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9" fillId="0" borderId="25" xfId="0" applyFont="1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26" xfId="0" applyFont="1" applyBorder="1" applyAlignment="1">
      <alignment horizontal="center" vertical="center"/>
    </xf>
    <xf numFmtId="0" fontId="30" fillId="0" borderId="29" xfId="0" applyFont="1" applyBorder="1" applyAlignment="1">
      <alignment horizontal="center" vertical="center"/>
    </xf>
    <xf numFmtId="0" fontId="30" fillId="0" borderId="27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67" fontId="43" fillId="0" borderId="26" xfId="2" applyNumberFormat="1" applyFont="1" applyBorder="1" applyAlignment="1">
      <alignment horizontal="center" vertical="center"/>
    </xf>
    <xf numFmtId="167" fontId="43" fillId="0" borderId="29" xfId="2" applyNumberFormat="1" applyFont="1" applyBorder="1" applyAlignment="1">
      <alignment horizontal="center" vertical="center"/>
    </xf>
    <xf numFmtId="0" fontId="42" fillId="0" borderId="26" xfId="0" applyFont="1" applyBorder="1" applyAlignment="1">
      <alignment horizontal="center" vertical="center"/>
    </xf>
    <xf numFmtId="0" fontId="49" fillId="0" borderId="25" xfId="0" applyFont="1" applyBorder="1" applyAlignment="1">
      <alignment horizontal="center" vertical="center"/>
    </xf>
    <xf numFmtId="167" fontId="50" fillId="0" borderId="26" xfId="2" applyNumberFormat="1" applyFont="1" applyBorder="1" applyAlignment="1">
      <alignment horizontal="center" vertical="center"/>
    </xf>
    <xf numFmtId="167" fontId="50" fillId="0" borderId="29" xfId="2" applyNumberFormat="1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44" fillId="0" borderId="25" xfId="6" applyFont="1" applyBorder="1" applyAlignment="1">
      <alignment horizontal="center" vertical="center"/>
    </xf>
    <xf numFmtId="0" fontId="45" fillId="0" borderId="26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9" fillId="0" borderId="25" xfId="6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</cellXfs>
  <cellStyles count="7">
    <cellStyle name="60% - Énfasis6" xfId="5" builtinId="52"/>
    <cellStyle name="Énfasis2" xfId="4" builtinId="33"/>
    <cellStyle name="Énfasis6" xfId="3" builtinId="49"/>
    <cellStyle name="Moneda" xfId="1" builtinId="4"/>
    <cellStyle name="Normal" xfId="0" builtinId="0"/>
    <cellStyle name="Porcentaje" xfId="2" builtinId="5"/>
    <cellStyle name="Título 2" xfId="6" builtinId="17"/>
  </cellStyles>
  <dxfs count="488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32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s-CL"/>
              <a:t>Risk/Position by duration</a:t>
            </a:r>
          </a:p>
        </c:rich>
      </c:tx>
      <c:layout>
        <c:manualLayout>
          <c:xMode val="edge"/>
          <c:yMode val="edge"/>
          <c:x val="0.35279507448883413"/>
          <c:y val="2.24163007102613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320" b="1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0.11051785603571207"/>
          <c:y val="0.10131978574951457"/>
          <c:w val="0.8709806352946039"/>
          <c:h val="0.81181198933576137"/>
        </c:manualLayout>
      </c:layout>
      <c:barChart>
        <c:barDir val="col"/>
        <c:grouping val="stacked"/>
        <c:varyColors val="0"/>
        <c:ser>
          <c:idx val="0"/>
          <c:order val="0"/>
          <c:tx>
            <c:v>weight</c:v>
          </c:tx>
          <c:spPr>
            <a:solidFill>
              <a:schemeClr val="accent1"/>
            </a:solidFill>
            <a:ln w="9525" cap="flat" cmpd="sng" algn="ctr">
              <a:solidFill>
                <a:schemeClr val="lt1">
                  <a:shade val="95000"/>
                  <a:satMod val="105000"/>
                </a:schemeClr>
              </a:solidFill>
              <a:prstDash val="solid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'retorno absoluto'!$D$74:$D$89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'retorno absoluto'!$M$53:$M$68</c:f>
              <c:numCache>
                <c:formatCode>#,##0.0%;\(#,##0.0%\)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A-47C1-ABD7-0926E04097A4}"/>
            </c:ext>
          </c:extLst>
        </c:ser>
        <c:ser>
          <c:idx val="1"/>
          <c:order val="1"/>
          <c:tx>
            <c:v>pcr</c:v>
          </c:tx>
          <c:spPr>
            <a:solidFill>
              <a:schemeClr val="accent6"/>
            </a:solidFill>
            <a:ln w="9525" cap="flat" cmpd="sng" algn="ctr">
              <a:solidFill>
                <a:schemeClr val="lt1">
                  <a:shade val="95000"/>
                  <a:satMod val="105000"/>
                </a:schemeClr>
              </a:solidFill>
              <a:prstDash val="solid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'retorno absoluto'!$D$74:$D$89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'retorno absoluto'!$AB$74:$AB$89</c:f>
              <c:numCache>
                <c:formatCode>#,##0.0%;\(#,##0.0%\)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DA-47C1-ABD7-0926E0409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38332672"/>
        <c:axId val="138547712"/>
      </c:barChart>
      <c:catAx>
        <c:axId val="138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138547712"/>
        <c:crosses val="autoZero"/>
        <c:auto val="1"/>
        <c:lblAlgn val="ctr"/>
        <c:lblOffset val="100"/>
        <c:noMultiLvlLbl val="0"/>
      </c:catAx>
      <c:valAx>
        <c:axId val="138547712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13833267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sz="3600" b="1">
          <a:solidFill>
            <a:schemeClr val="tx1"/>
          </a:solidFill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4"/>
    </mc:Choice>
    <mc:Fallback>
      <c:style val="1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IIF position by currency</a:t>
            </a:r>
          </a:p>
        </c:rich>
      </c:tx>
      <c:layout>
        <c:manualLayout>
          <c:xMode val="edge"/>
          <c:yMode val="edge"/>
          <c:x val="0.35279507448883413"/>
          <c:y val="2.241630071026137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5837902273159771E-2"/>
          <c:y val="0.13369133858267718"/>
          <c:w val="0.90566060227423695"/>
          <c:h val="0.681462960269808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'retorno absoluto'!$AF$94</c:f>
              <c:strCache>
                <c:ptCount val="1"/>
                <c:pt idx="0">
                  <c:v>dep $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'retorno absoluto'!$AE$95:$AE$122</c:f>
              <c:numCache>
                <c:formatCode>General</c:formatCode>
                <c:ptCount val="28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  <c:pt idx="10">
                  <c:v>165</c:v>
                </c:pt>
                <c:pt idx="11">
                  <c:v>180</c:v>
                </c:pt>
                <c:pt idx="12">
                  <c:v>195</c:v>
                </c:pt>
                <c:pt idx="13">
                  <c:v>210</c:v>
                </c:pt>
                <c:pt idx="14">
                  <c:v>225</c:v>
                </c:pt>
                <c:pt idx="15">
                  <c:v>240</c:v>
                </c:pt>
                <c:pt idx="16">
                  <c:v>255</c:v>
                </c:pt>
                <c:pt idx="17">
                  <c:v>270</c:v>
                </c:pt>
                <c:pt idx="18">
                  <c:v>285</c:v>
                </c:pt>
                <c:pt idx="19">
                  <c:v>300</c:v>
                </c:pt>
                <c:pt idx="20">
                  <c:v>315</c:v>
                </c:pt>
                <c:pt idx="21">
                  <c:v>330</c:v>
                </c:pt>
                <c:pt idx="22">
                  <c:v>345</c:v>
                </c:pt>
                <c:pt idx="23">
                  <c:v>360</c:v>
                </c:pt>
                <c:pt idx="24">
                  <c:v>720</c:v>
                </c:pt>
                <c:pt idx="25">
                  <c:v>1080</c:v>
                </c:pt>
                <c:pt idx="26">
                  <c:v>3600</c:v>
                </c:pt>
                <c:pt idx="27">
                  <c:v>10000</c:v>
                </c:pt>
              </c:numCache>
            </c:numRef>
          </c:cat>
          <c:val>
            <c:numRef>
              <c:f>'retorno absoluto'!$AF$95:$AF$122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9-46FC-AF68-7DB8C18C0DBA}"/>
            </c:ext>
          </c:extLst>
        </c:ser>
        <c:ser>
          <c:idx val="1"/>
          <c:order val="1"/>
          <c:tx>
            <c:strRef>
              <c:f>'retorno absoluto'!$AG$94</c:f>
              <c:strCache>
                <c:ptCount val="1"/>
                <c:pt idx="0">
                  <c:v>dep UF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'retorno absoluto'!$AE$95:$AE$122</c:f>
              <c:numCache>
                <c:formatCode>General</c:formatCode>
                <c:ptCount val="28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  <c:pt idx="10">
                  <c:v>165</c:v>
                </c:pt>
                <c:pt idx="11">
                  <c:v>180</c:v>
                </c:pt>
                <c:pt idx="12">
                  <c:v>195</c:v>
                </c:pt>
                <c:pt idx="13">
                  <c:v>210</c:v>
                </c:pt>
                <c:pt idx="14">
                  <c:v>225</c:v>
                </c:pt>
                <c:pt idx="15">
                  <c:v>240</c:v>
                </c:pt>
                <c:pt idx="16">
                  <c:v>255</c:v>
                </c:pt>
                <c:pt idx="17">
                  <c:v>270</c:v>
                </c:pt>
                <c:pt idx="18">
                  <c:v>285</c:v>
                </c:pt>
                <c:pt idx="19">
                  <c:v>300</c:v>
                </c:pt>
                <c:pt idx="20">
                  <c:v>315</c:v>
                </c:pt>
                <c:pt idx="21">
                  <c:v>330</c:v>
                </c:pt>
                <c:pt idx="22">
                  <c:v>345</c:v>
                </c:pt>
                <c:pt idx="23">
                  <c:v>360</c:v>
                </c:pt>
                <c:pt idx="24">
                  <c:v>720</c:v>
                </c:pt>
                <c:pt idx="25">
                  <c:v>1080</c:v>
                </c:pt>
                <c:pt idx="26">
                  <c:v>3600</c:v>
                </c:pt>
                <c:pt idx="27">
                  <c:v>10000</c:v>
                </c:pt>
              </c:numCache>
            </c:numRef>
          </c:cat>
          <c:val>
            <c:numRef>
              <c:f>'retorno absoluto'!$AG$95:$AG$122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39-46FC-AF68-7DB8C18C0DBA}"/>
            </c:ext>
          </c:extLst>
        </c:ser>
        <c:ser>
          <c:idx val="2"/>
          <c:order val="2"/>
          <c:tx>
            <c:strRef>
              <c:f>'retorno absoluto'!$AH$94</c:f>
              <c:strCache>
                <c:ptCount val="1"/>
                <c:pt idx="0">
                  <c:v>dep US$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numRef>
              <c:f>'retorno absoluto'!$AE$95:$AE$122</c:f>
              <c:numCache>
                <c:formatCode>General</c:formatCode>
                <c:ptCount val="28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  <c:pt idx="10">
                  <c:v>165</c:v>
                </c:pt>
                <c:pt idx="11">
                  <c:v>180</c:v>
                </c:pt>
                <c:pt idx="12">
                  <c:v>195</c:v>
                </c:pt>
                <c:pt idx="13">
                  <c:v>210</c:v>
                </c:pt>
                <c:pt idx="14">
                  <c:v>225</c:v>
                </c:pt>
                <c:pt idx="15">
                  <c:v>240</c:v>
                </c:pt>
                <c:pt idx="16">
                  <c:v>255</c:v>
                </c:pt>
                <c:pt idx="17">
                  <c:v>270</c:v>
                </c:pt>
                <c:pt idx="18">
                  <c:v>285</c:v>
                </c:pt>
                <c:pt idx="19">
                  <c:v>300</c:v>
                </c:pt>
                <c:pt idx="20">
                  <c:v>315</c:v>
                </c:pt>
                <c:pt idx="21">
                  <c:v>330</c:v>
                </c:pt>
                <c:pt idx="22">
                  <c:v>345</c:v>
                </c:pt>
                <c:pt idx="23">
                  <c:v>360</c:v>
                </c:pt>
                <c:pt idx="24">
                  <c:v>720</c:v>
                </c:pt>
                <c:pt idx="25">
                  <c:v>1080</c:v>
                </c:pt>
                <c:pt idx="26">
                  <c:v>3600</c:v>
                </c:pt>
                <c:pt idx="27">
                  <c:v>10000</c:v>
                </c:pt>
              </c:numCache>
            </c:numRef>
          </c:cat>
          <c:val>
            <c:numRef>
              <c:f>'retorno absoluto'!$AH$95:$AH$122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39-46FC-AF68-7DB8C18C0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38332672"/>
        <c:axId val="138547712"/>
      </c:barChart>
      <c:catAx>
        <c:axId val="138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8547712"/>
        <c:crosses val="autoZero"/>
        <c:auto val="1"/>
        <c:lblAlgn val="ctr"/>
        <c:lblOffset val="100"/>
        <c:noMultiLvlLbl val="0"/>
      </c:catAx>
      <c:valAx>
        <c:axId val="138547712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crossAx val="1383326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3600" b="1">
          <a:solidFill>
            <a:schemeClr val="tx1"/>
          </a:solidFill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800" b="1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/>
              <a:t>Historical Tracking Error v/s Duration by Currency</a:t>
            </a:r>
          </a:p>
        </c:rich>
      </c:tx>
      <c:layout>
        <c:manualLayout>
          <c:xMode val="edge"/>
          <c:yMode val="edge"/>
          <c:x val="0.33507710963150111"/>
          <c:y val="2.11165544352204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800" b="1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0.11345635954113086"/>
          <c:y val="0.10338433150401655"/>
          <c:w val="0.70148482925763733"/>
          <c:h val="0.73987002571648242"/>
        </c:manualLayout>
      </c:layout>
      <c:areaChart>
        <c:grouping val="stacked"/>
        <c:varyColors val="0"/>
        <c:ser>
          <c:idx val="1"/>
          <c:order val="0"/>
          <c:tx>
            <c:strRef>
              <c:f>Historical!$L$1</c:f>
              <c:strCache>
                <c:ptCount val="1"/>
                <c:pt idx="0">
                  <c:v>$</c:v>
                </c:pt>
              </c:strCache>
            </c:strRef>
          </c:tx>
          <c:spPr>
            <a:solidFill>
              <a:schemeClr val="accent1"/>
            </a:solidFill>
            <a:ln cap="rnd"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07-02-2018</c:v>
                </c:pt>
                <c:pt idx="1">
                  <c:v>08-02-2018</c:v>
                </c:pt>
                <c:pt idx="2">
                  <c:v>09-02-2018</c:v>
                </c:pt>
                <c:pt idx="3">
                  <c:v>12-02-2018</c:v>
                </c:pt>
                <c:pt idx="4">
                  <c:v>13-02-2018</c:v>
                </c:pt>
                <c:pt idx="5">
                  <c:v>14-02-2018</c:v>
                </c:pt>
                <c:pt idx="6">
                  <c:v>15-02-2018</c:v>
                </c:pt>
                <c:pt idx="7">
                  <c:v>16-02-2018</c:v>
                </c:pt>
                <c:pt idx="8">
                  <c:v>19-02-2018</c:v>
                </c:pt>
                <c:pt idx="9">
                  <c:v>20-02-2018</c:v>
                </c:pt>
                <c:pt idx="10">
                  <c:v>21-02-2018</c:v>
                </c:pt>
                <c:pt idx="11">
                  <c:v>22-02-2018</c:v>
                </c:pt>
                <c:pt idx="12">
                  <c:v>23-02-2018</c:v>
                </c:pt>
                <c:pt idx="13">
                  <c:v>26-02-2018</c:v>
                </c:pt>
                <c:pt idx="14">
                  <c:v>27-02-2018</c:v>
                </c:pt>
                <c:pt idx="15">
                  <c:v>28-02-2018</c:v>
                </c:pt>
                <c:pt idx="16">
                  <c:v>01-03-2018</c:v>
                </c:pt>
                <c:pt idx="17">
                  <c:v>02-03-2018</c:v>
                </c:pt>
                <c:pt idx="18">
                  <c:v>05-03-2018</c:v>
                </c:pt>
                <c:pt idx="19">
                  <c:v>06-03-2018</c:v>
                </c:pt>
              </c:strCache>
            </c:strRef>
          </c:cat>
          <c:val>
            <c:numRef>
              <c:f>Historical!$L$2:$L$21</c:f>
              <c:numCache>
                <c:formatCode>0.00%</c:formatCode>
                <c:ptCount val="20"/>
                <c:pt idx="0">
                  <c:v>1.0285062322954761E-4</c:v>
                </c:pt>
                <c:pt idx="1">
                  <c:v>1.0470406998784793E-4</c:v>
                </c:pt>
                <c:pt idx="2">
                  <c:v>1.6520309570086363E-4</c:v>
                </c:pt>
                <c:pt idx="3">
                  <c:v>1.9983864599943925E-4</c:v>
                </c:pt>
                <c:pt idx="4">
                  <c:v>2.0066937468111155E-4</c:v>
                </c:pt>
                <c:pt idx="5">
                  <c:v>1.8897241949105713E-4</c:v>
                </c:pt>
                <c:pt idx="6">
                  <c:v>1.9740715158478631E-4</c:v>
                </c:pt>
                <c:pt idx="7">
                  <c:v>1.7984419367707814E-4</c:v>
                </c:pt>
                <c:pt idx="8">
                  <c:v>1.6640170711436602E-4</c:v>
                </c:pt>
                <c:pt idx="9">
                  <c:v>1.4922825173286646E-4</c:v>
                </c:pt>
                <c:pt idx="10">
                  <c:v>1.4813083336754046E-4</c:v>
                </c:pt>
                <c:pt idx="11">
                  <c:v>1.4637234188932634E-4</c:v>
                </c:pt>
                <c:pt idx="12">
                  <c:v>1.4858697331068189E-4</c:v>
                </c:pt>
                <c:pt idx="13">
                  <c:v>1.3835223148752927E-4</c:v>
                </c:pt>
                <c:pt idx="14">
                  <c:v>1.280810167589366E-4</c:v>
                </c:pt>
                <c:pt idx="15">
                  <c:v>1.1506894299214065E-4</c:v>
                </c:pt>
                <c:pt idx="16">
                  <c:v>1.1601443864114114E-4</c:v>
                </c:pt>
                <c:pt idx="17">
                  <c:v>1.390567717103033E-4</c:v>
                </c:pt>
                <c:pt idx="18">
                  <c:v>1.2466637229567132E-4</c:v>
                </c:pt>
                <c:pt idx="19">
                  <c:v>1.0684140631584825E-4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CF-4132-B959-5B8F6542D7B2}"/>
            </c:ext>
          </c:extLst>
        </c:ser>
        <c:ser>
          <c:idx val="0"/>
          <c:order val="1"/>
          <c:tx>
            <c:strRef>
              <c:f>Historical!$M$1</c:f>
              <c:strCache>
                <c:ptCount val="1"/>
                <c:pt idx="0">
                  <c:v>UF</c:v>
                </c:pt>
              </c:strCache>
            </c:strRef>
          </c:tx>
          <c:spPr>
            <a:solidFill>
              <a:schemeClr val="accent6"/>
            </a:solidFill>
            <a:ln cap="rnd"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07-02-2018</c:v>
                </c:pt>
                <c:pt idx="1">
                  <c:v>08-02-2018</c:v>
                </c:pt>
                <c:pt idx="2">
                  <c:v>09-02-2018</c:v>
                </c:pt>
                <c:pt idx="3">
                  <c:v>12-02-2018</c:v>
                </c:pt>
                <c:pt idx="4">
                  <c:v>13-02-2018</c:v>
                </c:pt>
                <c:pt idx="5">
                  <c:v>14-02-2018</c:v>
                </c:pt>
                <c:pt idx="6">
                  <c:v>15-02-2018</c:v>
                </c:pt>
                <c:pt idx="7">
                  <c:v>16-02-2018</c:v>
                </c:pt>
                <c:pt idx="8">
                  <c:v>19-02-2018</c:v>
                </c:pt>
                <c:pt idx="9">
                  <c:v>20-02-2018</c:v>
                </c:pt>
                <c:pt idx="10">
                  <c:v>21-02-2018</c:v>
                </c:pt>
                <c:pt idx="11">
                  <c:v>22-02-2018</c:v>
                </c:pt>
                <c:pt idx="12">
                  <c:v>23-02-2018</c:v>
                </c:pt>
                <c:pt idx="13">
                  <c:v>26-02-2018</c:v>
                </c:pt>
                <c:pt idx="14">
                  <c:v>27-02-2018</c:v>
                </c:pt>
                <c:pt idx="15">
                  <c:v>28-02-2018</c:v>
                </c:pt>
                <c:pt idx="16">
                  <c:v>01-03-2018</c:v>
                </c:pt>
                <c:pt idx="17">
                  <c:v>02-03-2018</c:v>
                </c:pt>
                <c:pt idx="18">
                  <c:v>05-03-2018</c:v>
                </c:pt>
                <c:pt idx="19">
                  <c:v>06-03-2018</c:v>
                </c:pt>
              </c:strCache>
            </c:strRef>
          </c:cat>
          <c:val>
            <c:numRef>
              <c:f>Historical!$M$2:$M$21</c:f>
              <c:numCache>
                <c:formatCode>0.00%</c:formatCode>
                <c:ptCount val="20"/>
                <c:pt idx="0">
                  <c:v>2.0477980758537542E-3</c:v>
                </c:pt>
                <c:pt idx="1">
                  <c:v>1.9716519586502356E-3</c:v>
                </c:pt>
                <c:pt idx="2">
                  <c:v>1.8856203401834749E-3</c:v>
                </c:pt>
                <c:pt idx="3">
                  <c:v>1.8770509557925234E-3</c:v>
                </c:pt>
                <c:pt idx="4">
                  <c:v>1.8090559571263135E-3</c:v>
                </c:pt>
                <c:pt idx="5">
                  <c:v>1.9501078750352341E-3</c:v>
                </c:pt>
                <c:pt idx="6">
                  <c:v>1.8740869511972046E-3</c:v>
                </c:pt>
                <c:pt idx="7">
                  <c:v>1.8581676872611898E-3</c:v>
                </c:pt>
                <c:pt idx="8">
                  <c:v>1.9640871485450419E-3</c:v>
                </c:pt>
                <c:pt idx="9">
                  <c:v>2.2969359589717626E-3</c:v>
                </c:pt>
                <c:pt idx="10">
                  <c:v>2.2296159172682127E-3</c:v>
                </c:pt>
                <c:pt idx="11">
                  <c:v>2.2693211503535394E-3</c:v>
                </c:pt>
                <c:pt idx="12">
                  <c:v>2.2325669468179713E-3</c:v>
                </c:pt>
                <c:pt idx="13">
                  <c:v>2.2359011913689218E-3</c:v>
                </c:pt>
                <c:pt idx="14">
                  <c:v>2.1660831367733622E-3</c:v>
                </c:pt>
                <c:pt idx="15">
                  <c:v>2.2148074949615462E-3</c:v>
                </c:pt>
                <c:pt idx="16">
                  <c:v>2.068451258090684E-3</c:v>
                </c:pt>
                <c:pt idx="17">
                  <c:v>1.9972603503510887E-3</c:v>
                </c:pt>
                <c:pt idx="18">
                  <c:v>1.9489213053825642E-3</c:v>
                </c:pt>
                <c:pt idx="19">
                  <c:v>2.0223172332502226E-3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F-4132-B959-5B8F6542D7B2}"/>
            </c:ext>
          </c:extLst>
        </c:ser>
        <c:ser>
          <c:idx val="2"/>
          <c:order val="2"/>
          <c:tx>
            <c:strRef>
              <c:f>Historical!$N$1</c:f>
              <c:strCache>
                <c:ptCount val="1"/>
                <c:pt idx="0">
                  <c:v>US$</c:v>
                </c:pt>
              </c:strCache>
            </c:strRef>
          </c:tx>
          <c:spPr>
            <a:solidFill>
              <a:schemeClr val="bg2">
                <a:lumMod val="50000"/>
                <a:lumOff val="50000"/>
              </a:schemeClr>
            </a:solidFill>
            <a:ln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07-02-2018</c:v>
                </c:pt>
                <c:pt idx="1">
                  <c:v>08-02-2018</c:v>
                </c:pt>
                <c:pt idx="2">
                  <c:v>09-02-2018</c:v>
                </c:pt>
                <c:pt idx="3">
                  <c:v>12-02-2018</c:v>
                </c:pt>
                <c:pt idx="4">
                  <c:v>13-02-2018</c:v>
                </c:pt>
                <c:pt idx="5">
                  <c:v>14-02-2018</c:v>
                </c:pt>
                <c:pt idx="6">
                  <c:v>15-02-2018</c:v>
                </c:pt>
                <c:pt idx="7">
                  <c:v>16-02-2018</c:v>
                </c:pt>
                <c:pt idx="8">
                  <c:v>19-02-2018</c:v>
                </c:pt>
                <c:pt idx="9">
                  <c:v>20-02-2018</c:v>
                </c:pt>
                <c:pt idx="10">
                  <c:v>21-02-2018</c:v>
                </c:pt>
                <c:pt idx="11">
                  <c:v>22-02-2018</c:v>
                </c:pt>
                <c:pt idx="12">
                  <c:v>23-02-2018</c:v>
                </c:pt>
                <c:pt idx="13">
                  <c:v>26-02-2018</c:v>
                </c:pt>
                <c:pt idx="14">
                  <c:v>27-02-2018</c:v>
                </c:pt>
                <c:pt idx="15">
                  <c:v>28-02-2018</c:v>
                </c:pt>
                <c:pt idx="16">
                  <c:v>01-03-2018</c:v>
                </c:pt>
                <c:pt idx="17">
                  <c:v>02-03-2018</c:v>
                </c:pt>
                <c:pt idx="18">
                  <c:v>05-03-2018</c:v>
                </c:pt>
                <c:pt idx="19">
                  <c:v>06-03-2018</c:v>
                </c:pt>
              </c:strCache>
            </c:strRef>
          </c:cat>
          <c:val>
            <c:numRef>
              <c:f>Historical!$N$2:$N$21</c:f>
              <c:numCache>
                <c:formatCode>0.00%</c:formatCode>
                <c:ptCount val="20"/>
                <c:pt idx="0">
                  <c:v>2.8759540633770841E-4</c:v>
                </c:pt>
                <c:pt idx="1">
                  <c:v>2.9642374571073928E-4</c:v>
                </c:pt>
                <c:pt idx="2">
                  <c:v>3.9140245903668345E-4</c:v>
                </c:pt>
                <c:pt idx="3">
                  <c:v>5.02134787266412E-4</c:v>
                </c:pt>
                <c:pt idx="4">
                  <c:v>4.8985419542528746E-4</c:v>
                </c:pt>
                <c:pt idx="5">
                  <c:v>5.2671888287602242E-4</c:v>
                </c:pt>
                <c:pt idx="6">
                  <c:v>5.5973939065505883E-4</c:v>
                </c:pt>
                <c:pt idx="7">
                  <c:v>5.5161740074683254E-4</c:v>
                </c:pt>
                <c:pt idx="8">
                  <c:v>4.4650300389859315E-4</c:v>
                </c:pt>
                <c:pt idx="9">
                  <c:v>3.5248516914822053E-4</c:v>
                </c:pt>
                <c:pt idx="10">
                  <c:v>3.3376862278063421E-4</c:v>
                </c:pt>
                <c:pt idx="11">
                  <c:v>2.8788964452329969E-4</c:v>
                </c:pt>
                <c:pt idx="12">
                  <c:v>2.6116892182246069E-4</c:v>
                </c:pt>
                <c:pt idx="13">
                  <c:v>1.2081976642342418E-4</c:v>
                </c:pt>
                <c:pt idx="14">
                  <c:v>1.3475012852323193E-4</c:v>
                </c:pt>
                <c:pt idx="15">
                  <c:v>8.850903108590985E-5</c:v>
                </c:pt>
                <c:pt idx="16">
                  <c:v>1.1448758949863922E-4</c:v>
                </c:pt>
                <c:pt idx="17">
                  <c:v>2.0628311593150482E-4</c:v>
                </c:pt>
                <c:pt idx="18">
                  <c:v>2.4540530177835212E-4</c:v>
                </c:pt>
                <c:pt idx="19">
                  <c:v>2.6200876553227092E-4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CF-4132-B959-5B8F6542D7B2}"/>
            </c:ext>
          </c:extLst>
        </c:ser>
        <c:ser>
          <c:idx val="3"/>
          <c:order val="3"/>
          <c:tx>
            <c:strRef>
              <c:f>Historical!$O$1</c:f>
              <c:strCache>
                <c:ptCount val="1"/>
                <c:pt idx="0">
                  <c:v>EU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07-02-2018</c:v>
                </c:pt>
                <c:pt idx="1">
                  <c:v>08-02-2018</c:v>
                </c:pt>
                <c:pt idx="2">
                  <c:v>09-02-2018</c:v>
                </c:pt>
                <c:pt idx="3">
                  <c:v>12-02-2018</c:v>
                </c:pt>
                <c:pt idx="4">
                  <c:v>13-02-2018</c:v>
                </c:pt>
                <c:pt idx="5">
                  <c:v>14-02-2018</c:v>
                </c:pt>
                <c:pt idx="6">
                  <c:v>15-02-2018</c:v>
                </c:pt>
                <c:pt idx="7">
                  <c:v>16-02-2018</c:v>
                </c:pt>
                <c:pt idx="8">
                  <c:v>19-02-2018</c:v>
                </c:pt>
                <c:pt idx="9">
                  <c:v>20-02-2018</c:v>
                </c:pt>
                <c:pt idx="10">
                  <c:v>21-02-2018</c:v>
                </c:pt>
                <c:pt idx="11">
                  <c:v>22-02-2018</c:v>
                </c:pt>
                <c:pt idx="12">
                  <c:v>23-02-2018</c:v>
                </c:pt>
                <c:pt idx="13">
                  <c:v>26-02-2018</c:v>
                </c:pt>
                <c:pt idx="14">
                  <c:v>27-02-2018</c:v>
                </c:pt>
                <c:pt idx="15">
                  <c:v>28-02-2018</c:v>
                </c:pt>
                <c:pt idx="16">
                  <c:v>01-03-2018</c:v>
                </c:pt>
                <c:pt idx="17">
                  <c:v>02-03-2018</c:v>
                </c:pt>
                <c:pt idx="18">
                  <c:v>05-03-2018</c:v>
                </c:pt>
                <c:pt idx="19">
                  <c:v>06-03-2018</c:v>
                </c:pt>
              </c:strCache>
            </c:strRef>
          </c:cat>
          <c:val>
            <c:numRef>
              <c:f>Historical!$O$2:$O$21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CF-4132-B959-5B8F6542D7B2}"/>
            </c:ext>
          </c:extLst>
        </c:ser>
        <c:ser>
          <c:idx val="4"/>
          <c:order val="4"/>
          <c:tx>
            <c:strRef>
              <c:f>Historical!$P$1</c:f>
              <c:strCache>
                <c:ptCount val="1"/>
                <c:pt idx="0">
                  <c:v>MX</c:v>
                </c:pt>
              </c:strCache>
            </c:strRef>
          </c:tx>
          <c:spPr>
            <a:solidFill>
              <a:srgbClr val="00B050"/>
            </a:solidFill>
            <a:ln w="9525" cmpd="sng">
              <a:noFill/>
              <a:prstDash val="solid"/>
              <a:tailEnd type="diamond"/>
            </a:ln>
            <a:effectLst/>
          </c:spPr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01-0C0B-4098-B516-D0A37FF858F2}"/>
              </c:ext>
            </c:extLst>
          </c:dPt>
          <c:cat>
            <c:strRef>
              <c:f>Historical!$J$2:$K$21</c:f>
              <c:strCache>
                <c:ptCount val="20"/>
                <c:pt idx="0">
                  <c:v>07-02-2018</c:v>
                </c:pt>
                <c:pt idx="1">
                  <c:v>08-02-2018</c:v>
                </c:pt>
                <c:pt idx="2">
                  <c:v>09-02-2018</c:v>
                </c:pt>
                <c:pt idx="3">
                  <c:v>12-02-2018</c:v>
                </c:pt>
                <c:pt idx="4">
                  <c:v>13-02-2018</c:v>
                </c:pt>
                <c:pt idx="5">
                  <c:v>14-02-2018</c:v>
                </c:pt>
                <c:pt idx="6">
                  <c:v>15-02-2018</c:v>
                </c:pt>
                <c:pt idx="7">
                  <c:v>16-02-2018</c:v>
                </c:pt>
                <c:pt idx="8">
                  <c:v>19-02-2018</c:v>
                </c:pt>
                <c:pt idx="9">
                  <c:v>20-02-2018</c:v>
                </c:pt>
                <c:pt idx="10">
                  <c:v>21-02-2018</c:v>
                </c:pt>
                <c:pt idx="11">
                  <c:v>22-02-2018</c:v>
                </c:pt>
                <c:pt idx="12">
                  <c:v>23-02-2018</c:v>
                </c:pt>
                <c:pt idx="13">
                  <c:v>26-02-2018</c:v>
                </c:pt>
                <c:pt idx="14">
                  <c:v>27-02-2018</c:v>
                </c:pt>
                <c:pt idx="15">
                  <c:v>28-02-2018</c:v>
                </c:pt>
                <c:pt idx="16">
                  <c:v>01-03-2018</c:v>
                </c:pt>
                <c:pt idx="17">
                  <c:v>02-03-2018</c:v>
                </c:pt>
                <c:pt idx="18">
                  <c:v>05-03-2018</c:v>
                </c:pt>
                <c:pt idx="19">
                  <c:v>06-03-2018</c:v>
                </c:pt>
              </c:strCache>
            </c:strRef>
          </c:cat>
          <c:val>
            <c:numRef>
              <c:f>Historical!$P$2:$P$21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0B-4098-B516-D0A37FF858F2}"/>
            </c:ext>
          </c:extLst>
        </c:ser>
        <c:ser>
          <c:idx val="5"/>
          <c:order val="5"/>
          <c:tx>
            <c:strRef>
              <c:f>Historical!$Q$1</c:f>
              <c:strCache>
                <c:ptCount val="1"/>
                <c:pt idx="0">
                  <c:v>SOL</c:v>
                </c:pt>
              </c:strCache>
            </c:strRef>
          </c:tx>
          <c:spPr>
            <a:solidFill>
              <a:srgbClr val="C00000"/>
            </a:solidFill>
            <a:ln cap="rnd"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07-02-2018</c:v>
                </c:pt>
                <c:pt idx="1">
                  <c:v>08-02-2018</c:v>
                </c:pt>
                <c:pt idx="2">
                  <c:v>09-02-2018</c:v>
                </c:pt>
                <c:pt idx="3">
                  <c:v>12-02-2018</c:v>
                </c:pt>
                <c:pt idx="4">
                  <c:v>13-02-2018</c:v>
                </c:pt>
                <c:pt idx="5">
                  <c:v>14-02-2018</c:v>
                </c:pt>
                <c:pt idx="6">
                  <c:v>15-02-2018</c:v>
                </c:pt>
                <c:pt idx="7">
                  <c:v>16-02-2018</c:v>
                </c:pt>
                <c:pt idx="8">
                  <c:v>19-02-2018</c:v>
                </c:pt>
                <c:pt idx="9">
                  <c:v>20-02-2018</c:v>
                </c:pt>
                <c:pt idx="10">
                  <c:v>21-02-2018</c:v>
                </c:pt>
                <c:pt idx="11">
                  <c:v>22-02-2018</c:v>
                </c:pt>
                <c:pt idx="12">
                  <c:v>23-02-2018</c:v>
                </c:pt>
                <c:pt idx="13">
                  <c:v>26-02-2018</c:v>
                </c:pt>
                <c:pt idx="14">
                  <c:v>27-02-2018</c:v>
                </c:pt>
                <c:pt idx="15">
                  <c:v>28-02-2018</c:v>
                </c:pt>
                <c:pt idx="16">
                  <c:v>01-03-2018</c:v>
                </c:pt>
                <c:pt idx="17">
                  <c:v>02-03-2018</c:v>
                </c:pt>
                <c:pt idx="18">
                  <c:v>05-03-2018</c:v>
                </c:pt>
                <c:pt idx="19">
                  <c:v>06-03-2018</c:v>
                </c:pt>
              </c:strCache>
            </c:strRef>
          </c:cat>
          <c:val>
            <c:numRef>
              <c:f>Historical!$Q$2:$Q$21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B8-4E85-9264-6CFAE7586A47}"/>
            </c:ext>
          </c:extLst>
        </c:ser>
        <c:ser>
          <c:idx val="7"/>
          <c:order val="6"/>
          <c:tx>
            <c:strRef>
              <c:f>Historical!$R$1</c:f>
              <c:strCache>
                <c:ptCount val="1"/>
                <c:pt idx="0">
                  <c:v>REA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07-02-2018</c:v>
                </c:pt>
                <c:pt idx="1">
                  <c:v>08-02-2018</c:v>
                </c:pt>
                <c:pt idx="2">
                  <c:v>09-02-2018</c:v>
                </c:pt>
                <c:pt idx="3">
                  <c:v>12-02-2018</c:v>
                </c:pt>
                <c:pt idx="4">
                  <c:v>13-02-2018</c:v>
                </c:pt>
                <c:pt idx="5">
                  <c:v>14-02-2018</c:v>
                </c:pt>
                <c:pt idx="6">
                  <c:v>15-02-2018</c:v>
                </c:pt>
                <c:pt idx="7">
                  <c:v>16-02-2018</c:v>
                </c:pt>
                <c:pt idx="8">
                  <c:v>19-02-2018</c:v>
                </c:pt>
                <c:pt idx="9">
                  <c:v>20-02-2018</c:v>
                </c:pt>
                <c:pt idx="10">
                  <c:v>21-02-2018</c:v>
                </c:pt>
                <c:pt idx="11">
                  <c:v>22-02-2018</c:v>
                </c:pt>
                <c:pt idx="12">
                  <c:v>23-02-2018</c:v>
                </c:pt>
                <c:pt idx="13">
                  <c:v>26-02-2018</c:v>
                </c:pt>
                <c:pt idx="14">
                  <c:v>27-02-2018</c:v>
                </c:pt>
                <c:pt idx="15">
                  <c:v>28-02-2018</c:v>
                </c:pt>
                <c:pt idx="16">
                  <c:v>01-03-2018</c:v>
                </c:pt>
                <c:pt idx="17">
                  <c:v>02-03-2018</c:v>
                </c:pt>
                <c:pt idx="18">
                  <c:v>05-03-2018</c:v>
                </c:pt>
                <c:pt idx="19">
                  <c:v>06-03-2018</c:v>
                </c:pt>
              </c:strCache>
            </c:strRef>
          </c:cat>
          <c:val>
            <c:numRef>
              <c:f>Historical!$R$2:$R$21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04-4857-9F8F-93706A8F2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721472"/>
        <c:axId val="1714773776"/>
      </c:areaChart>
      <c:lineChart>
        <c:grouping val="standard"/>
        <c:varyColors val="0"/>
        <c:ser>
          <c:idx val="6"/>
          <c:order val="7"/>
          <c:tx>
            <c:strRef>
              <c:f>Historical!$S$1</c:f>
              <c:strCache>
                <c:ptCount val="1"/>
                <c:pt idx="0">
                  <c:v>Duration</c:v>
                </c:pt>
              </c:strCache>
            </c:strRef>
          </c:tx>
          <c:spPr>
            <a:ln w="5715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diamond"/>
            <c:size val="21"/>
            <c:spPr>
              <a:solidFill>
                <a:srgbClr val="C00000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Historical!$J$2:$K$21</c:f>
              <c:strCache>
                <c:ptCount val="20"/>
                <c:pt idx="0">
                  <c:v>07-02-2018</c:v>
                </c:pt>
                <c:pt idx="1">
                  <c:v>08-02-2018</c:v>
                </c:pt>
                <c:pt idx="2">
                  <c:v>09-02-2018</c:v>
                </c:pt>
                <c:pt idx="3">
                  <c:v>12-02-2018</c:v>
                </c:pt>
                <c:pt idx="4">
                  <c:v>13-02-2018</c:v>
                </c:pt>
                <c:pt idx="5">
                  <c:v>14-02-2018</c:v>
                </c:pt>
                <c:pt idx="6">
                  <c:v>15-02-2018</c:v>
                </c:pt>
                <c:pt idx="7">
                  <c:v>16-02-2018</c:v>
                </c:pt>
                <c:pt idx="8">
                  <c:v>19-02-2018</c:v>
                </c:pt>
                <c:pt idx="9">
                  <c:v>20-02-2018</c:v>
                </c:pt>
                <c:pt idx="10">
                  <c:v>21-02-2018</c:v>
                </c:pt>
                <c:pt idx="11">
                  <c:v>22-02-2018</c:v>
                </c:pt>
                <c:pt idx="12">
                  <c:v>23-02-2018</c:v>
                </c:pt>
                <c:pt idx="13">
                  <c:v>26-02-2018</c:v>
                </c:pt>
                <c:pt idx="14">
                  <c:v>27-02-2018</c:v>
                </c:pt>
                <c:pt idx="15">
                  <c:v>28-02-2018</c:v>
                </c:pt>
                <c:pt idx="16">
                  <c:v>01-03-2018</c:v>
                </c:pt>
                <c:pt idx="17">
                  <c:v>02-03-2018</c:v>
                </c:pt>
                <c:pt idx="18">
                  <c:v>05-03-2018</c:v>
                </c:pt>
                <c:pt idx="19">
                  <c:v>06-03-2018</c:v>
                </c:pt>
              </c:strCache>
            </c:strRef>
          </c:cat>
          <c:val>
            <c:numRef>
              <c:f>Historical!$S$2:$S$21</c:f>
              <c:numCache>
                <c:formatCode>0.00</c:formatCode>
                <c:ptCount val="20"/>
                <c:pt idx="0">
                  <c:v>6.1616999652355773</c:v>
                </c:pt>
                <c:pt idx="1">
                  <c:v>6.1657040365439144</c:v>
                </c:pt>
                <c:pt idx="2">
                  <c:v>6.1630295853928203</c:v>
                </c:pt>
                <c:pt idx="3">
                  <c:v>6.1558528986497008</c:v>
                </c:pt>
                <c:pt idx="4">
                  <c:v>6.1573138435612957</c:v>
                </c:pt>
                <c:pt idx="5">
                  <c:v>6.1367206483495735</c:v>
                </c:pt>
                <c:pt idx="6">
                  <c:v>6.1296179312083954</c:v>
                </c:pt>
                <c:pt idx="7">
                  <c:v>6.1234010373672874</c:v>
                </c:pt>
                <c:pt idx="8">
                  <c:v>6.121389279921325</c:v>
                </c:pt>
                <c:pt idx="9">
                  <c:v>6.1224102062357977</c:v>
                </c:pt>
                <c:pt idx="10">
                  <c:v>6.1226877953984848</c:v>
                </c:pt>
                <c:pt idx="11">
                  <c:v>6.1206812269886894</c:v>
                </c:pt>
                <c:pt idx="12">
                  <c:v>6.1177676715094789</c:v>
                </c:pt>
                <c:pt idx="13">
                  <c:v>6.118177740245641</c:v>
                </c:pt>
                <c:pt idx="14">
                  <c:v>6.1104830744520608</c:v>
                </c:pt>
                <c:pt idx="15">
                  <c:v>6.1178569324078778</c:v>
                </c:pt>
                <c:pt idx="16">
                  <c:v>6.1408486929735844</c:v>
                </c:pt>
                <c:pt idx="17">
                  <c:v>6.1392800871647042</c:v>
                </c:pt>
                <c:pt idx="18">
                  <c:v>6.1323679233276076</c:v>
                </c:pt>
                <c:pt idx="19">
                  <c:v>6.1295892225810222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233-4E8E-8441-675FC873D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385039"/>
        <c:axId val="377747615"/>
      </c:lineChart>
      <c:dateAx>
        <c:axId val="365385039"/>
        <c:scaling>
          <c:orientation val="minMax"/>
        </c:scaling>
        <c:delete val="0"/>
        <c:axPos val="b"/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377747615"/>
        <c:crosses val="autoZero"/>
        <c:auto val="0"/>
        <c:lblOffset val="100"/>
        <c:baseTimeUnit val="days"/>
        <c:majorUnit val="2"/>
        <c:majorTimeUnit val="days"/>
        <c:minorUnit val="2"/>
        <c:minorTimeUnit val="days"/>
      </c:dateAx>
      <c:valAx>
        <c:axId val="377747615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365385039"/>
        <c:crosses val="autoZero"/>
        <c:crossBetween val="between"/>
        <c:majorUnit val="0.5"/>
      </c:valAx>
      <c:valAx>
        <c:axId val="171477377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1697721472"/>
        <c:crosses val="max"/>
        <c:crossBetween val="between"/>
      </c:valAx>
      <c:catAx>
        <c:axId val="169772147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714773776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4000" b="1">
          <a:solidFill>
            <a:schemeClr val="tx1"/>
          </a:solidFill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4"/>
    </mc:Choice>
    <mc:Fallback>
      <c:style val="1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Spread active position by currency</a:t>
            </a:r>
          </a:p>
        </c:rich>
      </c:tx>
      <c:layout>
        <c:manualLayout>
          <c:xMode val="edge"/>
          <c:yMode val="edge"/>
          <c:x val="0.35279507448883413"/>
          <c:y val="2.241630071026137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379451975148676"/>
          <c:y val="9.250167856924861E-2"/>
          <c:w val="0.8418600701019967"/>
          <c:h val="0.7007974167702721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credito!$K$71</c:f>
              <c:strCache>
                <c:ptCount val="1"/>
                <c:pt idx="0">
                  <c:v>spread $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credito!$D$72:$D$87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credito!$K$72:$K$87</c:f>
              <c:numCache>
                <c:formatCode>#,##0.0%;\(#,##0.0%\)</c:formatCode>
                <c:ptCount val="16"/>
                <c:pt idx="0">
                  <c:v>2.1707973794388453E-4</c:v>
                </c:pt>
                <c:pt idx="1">
                  <c:v>2.9333651305654029E-2</c:v>
                </c:pt>
                <c:pt idx="2">
                  <c:v>1.6779559426830473E-2</c:v>
                </c:pt>
                <c:pt idx="3">
                  <c:v>2.5859787923686851E-2</c:v>
                </c:pt>
                <c:pt idx="4">
                  <c:v>-1.2141528874829379E-2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1.4197410298432741E-2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65-4511-ABDB-2F0D076940FB}"/>
            </c:ext>
          </c:extLst>
        </c:ser>
        <c:ser>
          <c:idx val="1"/>
          <c:order val="1"/>
          <c:tx>
            <c:strRef>
              <c:f>credito!$L$71</c:f>
              <c:strCache>
                <c:ptCount val="1"/>
                <c:pt idx="0">
                  <c:v>spread UF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credito!$D$72:$D$87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credito!$L$72:$L$87</c:f>
              <c:numCache>
                <c:formatCode>#,##0.0%;\(#,##0.0%\)</c:formatCode>
                <c:ptCount val="16"/>
                <c:pt idx="0">
                  <c:v>1.9301042333983846E-3</c:v>
                </c:pt>
                <c:pt idx="1">
                  <c:v>-3.3806843524768565E-2</c:v>
                </c:pt>
                <c:pt idx="2">
                  <c:v>-6.4183530833528304E-2</c:v>
                </c:pt>
                <c:pt idx="3">
                  <c:v>-5.1593206362231595E-2</c:v>
                </c:pt>
                <c:pt idx="4">
                  <c:v>-4.9865582032415728E-2</c:v>
                </c:pt>
                <c:pt idx="5">
                  <c:v>-5.4736653271071578E-2</c:v>
                </c:pt>
                <c:pt idx="6">
                  <c:v>5.1542887539814349E-2</c:v>
                </c:pt>
                <c:pt idx="7">
                  <c:v>4.989928210326277E-2</c:v>
                </c:pt>
                <c:pt idx="8">
                  <c:v>-2.9648790816844281E-2</c:v>
                </c:pt>
                <c:pt idx="9">
                  <c:v>2.5493190949498937E-2</c:v>
                </c:pt>
                <c:pt idx="10">
                  <c:v>2.4555406430792912E-3</c:v>
                </c:pt>
                <c:pt idx="11">
                  <c:v>8.9842930537296257E-3</c:v>
                </c:pt>
                <c:pt idx="12">
                  <c:v>-2.8035989743971059E-2</c:v>
                </c:pt>
                <c:pt idx="13">
                  <c:v>2.2856802545381246E-2</c:v>
                </c:pt>
                <c:pt idx="14">
                  <c:v>-1.4186992579613001E-2</c:v>
                </c:pt>
                <c:pt idx="15">
                  <c:v>-1.0487013521240126E-2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65-4511-ABDB-2F0D076940FB}"/>
            </c:ext>
          </c:extLst>
        </c:ser>
        <c:ser>
          <c:idx val="2"/>
          <c:order val="2"/>
          <c:tx>
            <c:strRef>
              <c:f>credito!$M$71</c:f>
              <c:strCache>
                <c:ptCount val="1"/>
                <c:pt idx="0">
                  <c:v>spread US$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numRef>
              <c:f>credito!$D$72:$D$87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credito!$M$72:$M$87</c:f>
              <c:numCache>
                <c:formatCode>#,##0.0%;\(#,##0.0%\)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2.1520621580355661E-3</c:v>
                </c:pt>
                <c:pt idx="3">
                  <c:v>5.5622297821367106E-3</c:v>
                </c:pt>
                <c:pt idx="4">
                  <c:v>0</c:v>
                </c:pt>
                <c:pt idx="5">
                  <c:v>1.5543357186923073E-2</c:v>
                </c:pt>
                <c:pt idx="6">
                  <c:v>3.3675709702666373E-3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65-4511-ABDB-2F0D07694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38332672"/>
        <c:axId val="138547712"/>
      </c:barChart>
      <c:catAx>
        <c:axId val="138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crossAx val="138547712"/>
        <c:crosses val="autoZero"/>
        <c:auto val="1"/>
        <c:lblAlgn val="ctr"/>
        <c:lblOffset val="100"/>
        <c:noMultiLvlLbl val="0"/>
      </c:catAx>
      <c:valAx>
        <c:axId val="138547712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crossAx val="1383326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3600" b="1">
          <a:solidFill>
            <a:schemeClr val="tx1"/>
          </a:solidFill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32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s-CL"/>
              <a:t>Risk/Position by duration</a:t>
            </a:r>
          </a:p>
        </c:rich>
      </c:tx>
      <c:layout>
        <c:manualLayout>
          <c:xMode val="edge"/>
          <c:yMode val="edge"/>
          <c:x val="0.35279507448883413"/>
          <c:y val="2.24163007102613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320" b="1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8.7542505044589727E-2"/>
          <c:y val="0.12645847339258032"/>
          <c:w val="0.83428169498214488"/>
          <c:h val="0.71292798199220075"/>
        </c:manualLayout>
      </c:layout>
      <c:barChart>
        <c:barDir val="col"/>
        <c:grouping val="stacked"/>
        <c:varyColors val="0"/>
        <c:ser>
          <c:idx val="0"/>
          <c:order val="0"/>
          <c:tx>
            <c:v>active weight</c:v>
          </c:tx>
          <c:spPr>
            <a:solidFill>
              <a:schemeClr val="accent1"/>
            </a:solidFill>
            <a:ln w="9525" cap="flat" cmpd="sng" algn="ctr">
              <a:solidFill>
                <a:schemeClr val="lt1">
                  <a:shade val="95000"/>
                  <a:satMod val="105000"/>
                </a:schemeClr>
              </a:solidFill>
              <a:prstDash val="solid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credito!$D$72:$D$87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credito!$O$72:$O$87</c:f>
              <c:numCache>
                <c:formatCode>#,##0.0%;\(#,##0.0%\)</c:formatCode>
                <c:ptCount val="16"/>
                <c:pt idx="0">
                  <c:v>2.275353383188581E-2</c:v>
                </c:pt>
                <c:pt idx="1">
                  <c:v>-1.1517588684681265E-3</c:v>
                </c:pt>
                <c:pt idx="2">
                  <c:v>-4.5251909248662264E-2</c:v>
                </c:pt>
                <c:pt idx="3">
                  <c:v>-2.4252531774163833E-3</c:v>
                </c:pt>
                <c:pt idx="4">
                  <c:v>-6.200711090724511E-2</c:v>
                </c:pt>
                <c:pt idx="5">
                  <c:v>-3.9193296084148503E-2</c:v>
                </c:pt>
                <c:pt idx="6">
                  <c:v>5.4910458510080987E-2</c:v>
                </c:pt>
                <c:pt idx="7">
                  <c:v>4.989928210326277E-2</c:v>
                </c:pt>
                <c:pt idx="8">
                  <c:v>-2.2751257457713083E-2</c:v>
                </c:pt>
                <c:pt idx="9">
                  <c:v>3.9690601247931681E-2</c:v>
                </c:pt>
                <c:pt idx="10">
                  <c:v>2.4555406430792912E-3</c:v>
                </c:pt>
                <c:pt idx="11">
                  <c:v>8.9842930537296257E-3</c:v>
                </c:pt>
                <c:pt idx="12">
                  <c:v>-2.8035989743971059E-2</c:v>
                </c:pt>
                <c:pt idx="13">
                  <c:v>2.2856802545381246E-2</c:v>
                </c:pt>
                <c:pt idx="14">
                  <c:v>-1.4186992579613001E-2</c:v>
                </c:pt>
                <c:pt idx="15">
                  <c:v>-1.0487013521240126E-2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1-4E15-BE6A-D48D290DB4DC}"/>
            </c:ext>
          </c:extLst>
        </c:ser>
        <c:ser>
          <c:idx val="1"/>
          <c:order val="1"/>
          <c:tx>
            <c:v>pcr</c:v>
          </c:tx>
          <c:spPr>
            <a:solidFill>
              <a:schemeClr val="accent6"/>
            </a:solidFill>
            <a:ln w="9525" cap="flat" cmpd="sng" algn="ctr">
              <a:solidFill>
                <a:schemeClr val="lt1">
                  <a:shade val="95000"/>
                  <a:satMod val="105000"/>
                </a:schemeClr>
              </a:solidFill>
              <a:prstDash val="solid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credito!$D$72:$D$87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credito!$Z$72:$Z$87</c:f>
              <c:numCache>
                <c:formatCode>#,##0.0%;\(#,##0.0%\)</c:formatCode>
                <c:ptCount val="16"/>
                <c:pt idx="0">
                  <c:v>-0.18722450501265364</c:v>
                </c:pt>
                <c:pt idx="1">
                  <c:v>2.6791319737875848E-2</c:v>
                </c:pt>
                <c:pt idx="2">
                  <c:v>6.7595430700167047E-2</c:v>
                </c:pt>
                <c:pt idx="3">
                  <c:v>0.14378006406567345</c:v>
                </c:pt>
                <c:pt idx="4">
                  <c:v>0.12205676200287838</c:v>
                </c:pt>
                <c:pt idx="5">
                  <c:v>0.31766696029716279</c:v>
                </c:pt>
                <c:pt idx="6">
                  <c:v>9.2426763221584635E-2</c:v>
                </c:pt>
                <c:pt idx="7">
                  <c:v>2.6948312174649241E-3</c:v>
                </c:pt>
                <c:pt idx="8">
                  <c:v>0.25437237324060663</c:v>
                </c:pt>
                <c:pt idx="9">
                  <c:v>2.7681296951838782E-2</c:v>
                </c:pt>
                <c:pt idx="10">
                  <c:v>2.2095454050077613E-2</c:v>
                </c:pt>
                <c:pt idx="11">
                  <c:v>-9.8527651963058252E-3</c:v>
                </c:pt>
                <c:pt idx="12">
                  <c:v>9.8109703917775709E-2</c:v>
                </c:pt>
                <c:pt idx="13">
                  <c:v>-3.2760168505000992E-2</c:v>
                </c:pt>
                <c:pt idx="14">
                  <c:v>3.1260441126894488E-2</c:v>
                </c:pt>
                <c:pt idx="15">
                  <c:v>2.3306038183960483E-2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51-4E15-BE6A-D48D290DB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38332672"/>
        <c:axId val="138547712"/>
      </c:barChart>
      <c:catAx>
        <c:axId val="138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138547712"/>
        <c:crosses val="autoZero"/>
        <c:auto val="1"/>
        <c:lblAlgn val="ctr"/>
        <c:lblOffset val="100"/>
        <c:noMultiLvlLbl val="0"/>
      </c:catAx>
      <c:valAx>
        <c:axId val="138547712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13833267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sz="3600" b="1">
          <a:solidFill>
            <a:schemeClr val="tx1"/>
          </a:solidFill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4"/>
    </mc:Choice>
    <mc:Fallback>
      <c:style val="1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Spread position view</a:t>
            </a:r>
          </a:p>
        </c:rich>
      </c:tx>
      <c:layout>
        <c:manualLayout>
          <c:xMode val="edge"/>
          <c:yMode val="edge"/>
          <c:x val="0.42111597171653181"/>
          <c:y val="2.241628531036084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764143566130283E-2"/>
          <c:y val="8.933992660107859E-2"/>
          <c:w val="0.87127499389712171"/>
          <c:h val="0.712864654516169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credito!$K$48</c:f>
              <c:strCache>
                <c:ptCount val="1"/>
                <c:pt idx="0">
                  <c:v>spread $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credito!$D$49:$D$64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credito!$K$49:$K$64</c:f>
              <c:numCache>
                <c:formatCode>#,##0.0%;\(#,##0.0%\)</c:formatCode>
                <c:ptCount val="16"/>
                <c:pt idx="0">
                  <c:v>2.1707973794388453E-4</c:v>
                </c:pt>
                <c:pt idx="1">
                  <c:v>3.473247540225443E-2</c:v>
                </c:pt>
                <c:pt idx="2">
                  <c:v>1.6779559426830473E-2</c:v>
                </c:pt>
                <c:pt idx="3">
                  <c:v>2.5859787923686851E-2</c:v>
                </c:pt>
                <c:pt idx="4">
                  <c:v>1.1611930949413622E-2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1.4197410298432741E-2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D-4AE9-BF50-9634ED0D7E51}"/>
            </c:ext>
          </c:extLst>
        </c:ser>
        <c:ser>
          <c:idx val="1"/>
          <c:order val="1"/>
          <c:tx>
            <c:strRef>
              <c:f>credito!$L$48</c:f>
              <c:strCache>
                <c:ptCount val="1"/>
                <c:pt idx="0">
                  <c:v>spread UF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credito!$D$49:$D$64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credito!$L$49:$L$64</c:f>
              <c:numCache>
                <c:formatCode>#,##0.0%;\(#,##0.0%\)</c:formatCode>
                <c:ptCount val="16"/>
                <c:pt idx="0">
                  <c:v>1.9301042333983846E-3</c:v>
                </c:pt>
                <c:pt idx="1">
                  <c:v>2.2559135644696405E-2</c:v>
                </c:pt>
                <c:pt idx="2">
                  <c:v>4.4176305643375206E-2</c:v>
                </c:pt>
                <c:pt idx="3">
                  <c:v>0.1185655423234299</c:v>
                </c:pt>
                <c:pt idx="4">
                  <c:v>6.105837982873686E-2</c:v>
                </c:pt>
                <c:pt idx="5">
                  <c:v>6.6384991884346128E-2</c:v>
                </c:pt>
                <c:pt idx="6">
                  <c:v>0.10107875566551634</c:v>
                </c:pt>
                <c:pt idx="7">
                  <c:v>8.4041925559005776E-2</c:v>
                </c:pt>
                <c:pt idx="8">
                  <c:v>8.2288954393849506E-2</c:v>
                </c:pt>
                <c:pt idx="9">
                  <c:v>5.1250003767328037E-2</c:v>
                </c:pt>
                <c:pt idx="10">
                  <c:v>2.5783991222382289E-2</c:v>
                </c:pt>
                <c:pt idx="11">
                  <c:v>5.5138416005814615E-2</c:v>
                </c:pt>
                <c:pt idx="12">
                  <c:v>6.6859991544729935E-2</c:v>
                </c:pt>
                <c:pt idx="13">
                  <c:v>2.2856802545381246E-2</c:v>
                </c:pt>
                <c:pt idx="14">
                  <c:v>0</c:v>
                </c:pt>
                <c:pt idx="15">
                  <c:v>1.7431983852772562E-2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AD-4AE9-BF50-9634ED0D7E51}"/>
            </c:ext>
          </c:extLst>
        </c:ser>
        <c:ser>
          <c:idx val="2"/>
          <c:order val="2"/>
          <c:tx>
            <c:strRef>
              <c:f>credito!$M$48</c:f>
              <c:strCache>
                <c:ptCount val="1"/>
                <c:pt idx="0">
                  <c:v>spread US$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numRef>
              <c:f>credito!$D$49:$D$64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credito!$M$49:$M$64</c:f>
              <c:numCache>
                <c:formatCode>#,##0.0%;\(#,##0.0%\)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2.1520621580355661E-3</c:v>
                </c:pt>
                <c:pt idx="3">
                  <c:v>5.5622297821367106E-3</c:v>
                </c:pt>
                <c:pt idx="4">
                  <c:v>0</c:v>
                </c:pt>
                <c:pt idx="5">
                  <c:v>1.5543357186923073E-2</c:v>
                </c:pt>
                <c:pt idx="6">
                  <c:v>3.3675709702666373E-3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AD-4AE9-BF50-9634ED0D7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38332672"/>
        <c:axId val="138547712"/>
      </c:barChart>
      <c:catAx>
        <c:axId val="138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8547712"/>
        <c:crosses val="autoZero"/>
        <c:auto val="1"/>
        <c:lblAlgn val="ctr"/>
        <c:lblOffset val="100"/>
        <c:noMultiLvlLbl val="0"/>
      </c:catAx>
      <c:valAx>
        <c:axId val="138547712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crossAx val="1383326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3600" b="1">
          <a:solidFill>
            <a:schemeClr val="tx1"/>
          </a:solidFill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800" b="1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/>
              <a:t>Historical Tracking Error v/s Duration by Currency</a:t>
            </a:r>
          </a:p>
        </c:rich>
      </c:tx>
      <c:layout>
        <c:manualLayout>
          <c:xMode val="edge"/>
          <c:yMode val="edge"/>
          <c:x val="0.30705021597636617"/>
          <c:y val="3.70256502028155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800" b="1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6.1373031496062998E-2"/>
          <c:y val="0.10338433150401655"/>
          <c:w val="0.78109793892950896"/>
          <c:h val="0.79555627605372858"/>
        </c:manualLayout>
      </c:layout>
      <c:areaChart>
        <c:grouping val="stacked"/>
        <c:varyColors val="0"/>
        <c:ser>
          <c:idx val="1"/>
          <c:order val="0"/>
          <c:tx>
            <c:strRef>
              <c:f>Historical!$L$1</c:f>
              <c:strCache>
                <c:ptCount val="1"/>
                <c:pt idx="0">
                  <c:v>$</c:v>
                </c:pt>
              </c:strCache>
            </c:strRef>
          </c:tx>
          <c:spPr>
            <a:solidFill>
              <a:schemeClr val="accent1"/>
            </a:solidFill>
            <a:ln cap="rnd"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07-02-2018</c:v>
                </c:pt>
                <c:pt idx="1">
                  <c:v>08-02-2018</c:v>
                </c:pt>
                <c:pt idx="2">
                  <c:v>09-02-2018</c:v>
                </c:pt>
                <c:pt idx="3">
                  <c:v>12-02-2018</c:v>
                </c:pt>
                <c:pt idx="4">
                  <c:v>13-02-2018</c:v>
                </c:pt>
                <c:pt idx="5">
                  <c:v>14-02-2018</c:v>
                </c:pt>
                <c:pt idx="6">
                  <c:v>15-02-2018</c:v>
                </c:pt>
                <c:pt idx="7">
                  <c:v>16-02-2018</c:v>
                </c:pt>
                <c:pt idx="8">
                  <c:v>19-02-2018</c:v>
                </c:pt>
                <c:pt idx="9">
                  <c:v>20-02-2018</c:v>
                </c:pt>
                <c:pt idx="10">
                  <c:v>21-02-2018</c:v>
                </c:pt>
                <c:pt idx="11">
                  <c:v>22-02-2018</c:v>
                </c:pt>
                <c:pt idx="12">
                  <c:v>23-02-2018</c:v>
                </c:pt>
                <c:pt idx="13">
                  <c:v>26-02-2018</c:v>
                </c:pt>
                <c:pt idx="14">
                  <c:v>27-02-2018</c:v>
                </c:pt>
                <c:pt idx="15">
                  <c:v>28-02-2018</c:v>
                </c:pt>
                <c:pt idx="16">
                  <c:v>01-03-2018</c:v>
                </c:pt>
                <c:pt idx="17">
                  <c:v>02-03-2018</c:v>
                </c:pt>
                <c:pt idx="18">
                  <c:v>05-03-2018</c:v>
                </c:pt>
                <c:pt idx="19">
                  <c:v>06-03-2018</c:v>
                </c:pt>
              </c:strCache>
            </c:strRef>
          </c:cat>
          <c:val>
            <c:numRef>
              <c:f>Historical!$L$2:$L$21</c:f>
              <c:numCache>
                <c:formatCode>0.00%</c:formatCode>
                <c:ptCount val="20"/>
                <c:pt idx="0">
                  <c:v>1.0285062322954761E-4</c:v>
                </c:pt>
                <c:pt idx="1">
                  <c:v>1.0470406998784793E-4</c:v>
                </c:pt>
                <c:pt idx="2">
                  <c:v>1.6520309570086363E-4</c:v>
                </c:pt>
                <c:pt idx="3">
                  <c:v>1.9983864599943925E-4</c:v>
                </c:pt>
                <c:pt idx="4">
                  <c:v>2.0066937468111155E-4</c:v>
                </c:pt>
                <c:pt idx="5">
                  <c:v>1.8897241949105713E-4</c:v>
                </c:pt>
                <c:pt idx="6">
                  <c:v>1.9740715158478631E-4</c:v>
                </c:pt>
                <c:pt idx="7">
                  <c:v>1.7984419367707814E-4</c:v>
                </c:pt>
                <c:pt idx="8">
                  <c:v>1.6640170711436602E-4</c:v>
                </c:pt>
                <c:pt idx="9">
                  <c:v>1.4922825173286646E-4</c:v>
                </c:pt>
                <c:pt idx="10">
                  <c:v>1.4813083336754046E-4</c:v>
                </c:pt>
                <c:pt idx="11">
                  <c:v>1.4637234188932634E-4</c:v>
                </c:pt>
                <c:pt idx="12">
                  <c:v>1.4858697331068189E-4</c:v>
                </c:pt>
                <c:pt idx="13">
                  <c:v>1.3835223148752927E-4</c:v>
                </c:pt>
                <c:pt idx="14">
                  <c:v>1.280810167589366E-4</c:v>
                </c:pt>
                <c:pt idx="15">
                  <c:v>1.1506894299214065E-4</c:v>
                </c:pt>
                <c:pt idx="16">
                  <c:v>1.1601443864114114E-4</c:v>
                </c:pt>
                <c:pt idx="17">
                  <c:v>1.390567717103033E-4</c:v>
                </c:pt>
                <c:pt idx="18">
                  <c:v>1.2466637229567132E-4</c:v>
                </c:pt>
                <c:pt idx="19">
                  <c:v>1.0684140631584825E-4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16-4821-842D-7B4662D232BE}"/>
            </c:ext>
          </c:extLst>
        </c:ser>
        <c:ser>
          <c:idx val="0"/>
          <c:order val="1"/>
          <c:tx>
            <c:strRef>
              <c:f>Historical!$M$1</c:f>
              <c:strCache>
                <c:ptCount val="1"/>
                <c:pt idx="0">
                  <c:v>UF</c:v>
                </c:pt>
              </c:strCache>
            </c:strRef>
          </c:tx>
          <c:spPr>
            <a:solidFill>
              <a:schemeClr val="accent6"/>
            </a:solidFill>
            <a:ln cap="rnd"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07-02-2018</c:v>
                </c:pt>
                <c:pt idx="1">
                  <c:v>08-02-2018</c:v>
                </c:pt>
                <c:pt idx="2">
                  <c:v>09-02-2018</c:v>
                </c:pt>
                <c:pt idx="3">
                  <c:v>12-02-2018</c:v>
                </c:pt>
                <c:pt idx="4">
                  <c:v>13-02-2018</c:v>
                </c:pt>
                <c:pt idx="5">
                  <c:v>14-02-2018</c:v>
                </c:pt>
                <c:pt idx="6">
                  <c:v>15-02-2018</c:v>
                </c:pt>
                <c:pt idx="7">
                  <c:v>16-02-2018</c:v>
                </c:pt>
                <c:pt idx="8">
                  <c:v>19-02-2018</c:v>
                </c:pt>
                <c:pt idx="9">
                  <c:v>20-02-2018</c:v>
                </c:pt>
                <c:pt idx="10">
                  <c:v>21-02-2018</c:v>
                </c:pt>
                <c:pt idx="11">
                  <c:v>22-02-2018</c:v>
                </c:pt>
                <c:pt idx="12">
                  <c:v>23-02-2018</c:v>
                </c:pt>
                <c:pt idx="13">
                  <c:v>26-02-2018</c:v>
                </c:pt>
                <c:pt idx="14">
                  <c:v>27-02-2018</c:v>
                </c:pt>
                <c:pt idx="15">
                  <c:v>28-02-2018</c:v>
                </c:pt>
                <c:pt idx="16">
                  <c:v>01-03-2018</c:v>
                </c:pt>
                <c:pt idx="17">
                  <c:v>02-03-2018</c:v>
                </c:pt>
                <c:pt idx="18">
                  <c:v>05-03-2018</c:v>
                </c:pt>
                <c:pt idx="19">
                  <c:v>06-03-2018</c:v>
                </c:pt>
              </c:strCache>
            </c:strRef>
          </c:cat>
          <c:val>
            <c:numRef>
              <c:f>Historical!$M$2:$M$21</c:f>
              <c:numCache>
                <c:formatCode>0.00%</c:formatCode>
                <c:ptCount val="20"/>
                <c:pt idx="0">
                  <c:v>2.0477980758537542E-3</c:v>
                </c:pt>
                <c:pt idx="1">
                  <c:v>1.9716519586502356E-3</c:v>
                </c:pt>
                <c:pt idx="2">
                  <c:v>1.8856203401834749E-3</c:v>
                </c:pt>
                <c:pt idx="3">
                  <c:v>1.8770509557925234E-3</c:v>
                </c:pt>
                <c:pt idx="4">
                  <c:v>1.8090559571263135E-3</c:v>
                </c:pt>
                <c:pt idx="5">
                  <c:v>1.9501078750352341E-3</c:v>
                </c:pt>
                <c:pt idx="6">
                  <c:v>1.8740869511972046E-3</c:v>
                </c:pt>
                <c:pt idx="7">
                  <c:v>1.8581676872611898E-3</c:v>
                </c:pt>
                <c:pt idx="8">
                  <c:v>1.9640871485450419E-3</c:v>
                </c:pt>
                <c:pt idx="9">
                  <c:v>2.2969359589717626E-3</c:v>
                </c:pt>
                <c:pt idx="10">
                  <c:v>2.2296159172682127E-3</c:v>
                </c:pt>
                <c:pt idx="11">
                  <c:v>2.2693211503535394E-3</c:v>
                </c:pt>
                <c:pt idx="12">
                  <c:v>2.2325669468179713E-3</c:v>
                </c:pt>
                <c:pt idx="13">
                  <c:v>2.2359011913689218E-3</c:v>
                </c:pt>
                <c:pt idx="14">
                  <c:v>2.1660831367733622E-3</c:v>
                </c:pt>
                <c:pt idx="15">
                  <c:v>2.2148074949615462E-3</c:v>
                </c:pt>
                <c:pt idx="16">
                  <c:v>2.068451258090684E-3</c:v>
                </c:pt>
                <c:pt idx="17">
                  <c:v>1.9972603503510887E-3</c:v>
                </c:pt>
                <c:pt idx="18">
                  <c:v>1.9489213053825642E-3</c:v>
                </c:pt>
                <c:pt idx="19">
                  <c:v>2.0223172332502226E-3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16-4821-842D-7B4662D232BE}"/>
            </c:ext>
          </c:extLst>
        </c:ser>
        <c:ser>
          <c:idx val="2"/>
          <c:order val="2"/>
          <c:tx>
            <c:strRef>
              <c:f>Historical!$N$1</c:f>
              <c:strCache>
                <c:ptCount val="1"/>
                <c:pt idx="0">
                  <c:v>US$</c:v>
                </c:pt>
              </c:strCache>
            </c:strRef>
          </c:tx>
          <c:spPr>
            <a:solidFill>
              <a:schemeClr val="bg2">
                <a:lumMod val="50000"/>
                <a:lumOff val="50000"/>
              </a:schemeClr>
            </a:solidFill>
            <a:ln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07-02-2018</c:v>
                </c:pt>
                <c:pt idx="1">
                  <c:v>08-02-2018</c:v>
                </c:pt>
                <c:pt idx="2">
                  <c:v>09-02-2018</c:v>
                </c:pt>
                <c:pt idx="3">
                  <c:v>12-02-2018</c:v>
                </c:pt>
                <c:pt idx="4">
                  <c:v>13-02-2018</c:v>
                </c:pt>
                <c:pt idx="5">
                  <c:v>14-02-2018</c:v>
                </c:pt>
                <c:pt idx="6">
                  <c:v>15-02-2018</c:v>
                </c:pt>
                <c:pt idx="7">
                  <c:v>16-02-2018</c:v>
                </c:pt>
                <c:pt idx="8">
                  <c:v>19-02-2018</c:v>
                </c:pt>
                <c:pt idx="9">
                  <c:v>20-02-2018</c:v>
                </c:pt>
                <c:pt idx="10">
                  <c:v>21-02-2018</c:v>
                </c:pt>
                <c:pt idx="11">
                  <c:v>22-02-2018</c:v>
                </c:pt>
                <c:pt idx="12">
                  <c:v>23-02-2018</c:v>
                </c:pt>
                <c:pt idx="13">
                  <c:v>26-02-2018</c:v>
                </c:pt>
                <c:pt idx="14">
                  <c:v>27-02-2018</c:v>
                </c:pt>
                <c:pt idx="15">
                  <c:v>28-02-2018</c:v>
                </c:pt>
                <c:pt idx="16">
                  <c:v>01-03-2018</c:v>
                </c:pt>
                <c:pt idx="17">
                  <c:v>02-03-2018</c:v>
                </c:pt>
                <c:pt idx="18">
                  <c:v>05-03-2018</c:v>
                </c:pt>
                <c:pt idx="19">
                  <c:v>06-03-2018</c:v>
                </c:pt>
              </c:strCache>
            </c:strRef>
          </c:cat>
          <c:val>
            <c:numRef>
              <c:f>Historical!$N$2:$N$21</c:f>
              <c:numCache>
                <c:formatCode>0.00%</c:formatCode>
                <c:ptCount val="20"/>
                <c:pt idx="0">
                  <c:v>2.8759540633770841E-4</c:v>
                </c:pt>
                <c:pt idx="1">
                  <c:v>2.9642374571073928E-4</c:v>
                </c:pt>
                <c:pt idx="2">
                  <c:v>3.9140245903668345E-4</c:v>
                </c:pt>
                <c:pt idx="3">
                  <c:v>5.02134787266412E-4</c:v>
                </c:pt>
                <c:pt idx="4">
                  <c:v>4.8985419542528746E-4</c:v>
                </c:pt>
                <c:pt idx="5">
                  <c:v>5.2671888287602242E-4</c:v>
                </c:pt>
                <c:pt idx="6">
                  <c:v>5.5973939065505883E-4</c:v>
                </c:pt>
                <c:pt idx="7">
                  <c:v>5.5161740074683254E-4</c:v>
                </c:pt>
                <c:pt idx="8">
                  <c:v>4.4650300389859315E-4</c:v>
                </c:pt>
                <c:pt idx="9">
                  <c:v>3.5248516914822053E-4</c:v>
                </c:pt>
                <c:pt idx="10">
                  <c:v>3.3376862278063421E-4</c:v>
                </c:pt>
                <c:pt idx="11">
                  <c:v>2.8788964452329969E-4</c:v>
                </c:pt>
                <c:pt idx="12">
                  <c:v>2.6116892182246069E-4</c:v>
                </c:pt>
                <c:pt idx="13">
                  <c:v>1.2081976642342418E-4</c:v>
                </c:pt>
                <c:pt idx="14">
                  <c:v>1.3475012852323193E-4</c:v>
                </c:pt>
                <c:pt idx="15">
                  <c:v>8.850903108590985E-5</c:v>
                </c:pt>
                <c:pt idx="16">
                  <c:v>1.1448758949863922E-4</c:v>
                </c:pt>
                <c:pt idx="17">
                  <c:v>2.0628311593150482E-4</c:v>
                </c:pt>
                <c:pt idx="18">
                  <c:v>2.4540530177835212E-4</c:v>
                </c:pt>
                <c:pt idx="19">
                  <c:v>2.6200876553227092E-4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16-4821-842D-7B4662D232BE}"/>
            </c:ext>
          </c:extLst>
        </c:ser>
        <c:ser>
          <c:idx val="3"/>
          <c:order val="3"/>
          <c:tx>
            <c:strRef>
              <c:f>Historical!$O$1</c:f>
              <c:strCache>
                <c:ptCount val="1"/>
                <c:pt idx="0">
                  <c:v>EU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07-02-2018</c:v>
                </c:pt>
                <c:pt idx="1">
                  <c:v>08-02-2018</c:v>
                </c:pt>
                <c:pt idx="2">
                  <c:v>09-02-2018</c:v>
                </c:pt>
                <c:pt idx="3">
                  <c:v>12-02-2018</c:v>
                </c:pt>
                <c:pt idx="4">
                  <c:v>13-02-2018</c:v>
                </c:pt>
                <c:pt idx="5">
                  <c:v>14-02-2018</c:v>
                </c:pt>
                <c:pt idx="6">
                  <c:v>15-02-2018</c:v>
                </c:pt>
                <c:pt idx="7">
                  <c:v>16-02-2018</c:v>
                </c:pt>
                <c:pt idx="8">
                  <c:v>19-02-2018</c:v>
                </c:pt>
                <c:pt idx="9">
                  <c:v>20-02-2018</c:v>
                </c:pt>
                <c:pt idx="10">
                  <c:v>21-02-2018</c:v>
                </c:pt>
                <c:pt idx="11">
                  <c:v>22-02-2018</c:v>
                </c:pt>
                <c:pt idx="12">
                  <c:v>23-02-2018</c:v>
                </c:pt>
                <c:pt idx="13">
                  <c:v>26-02-2018</c:v>
                </c:pt>
                <c:pt idx="14">
                  <c:v>27-02-2018</c:v>
                </c:pt>
                <c:pt idx="15">
                  <c:v>28-02-2018</c:v>
                </c:pt>
                <c:pt idx="16">
                  <c:v>01-03-2018</c:v>
                </c:pt>
                <c:pt idx="17">
                  <c:v>02-03-2018</c:v>
                </c:pt>
                <c:pt idx="18">
                  <c:v>05-03-2018</c:v>
                </c:pt>
                <c:pt idx="19">
                  <c:v>06-03-2018</c:v>
                </c:pt>
              </c:strCache>
            </c:strRef>
          </c:cat>
          <c:val>
            <c:numRef>
              <c:f>Historical!$O$2:$O$21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16-4821-842D-7B4662D232BE}"/>
            </c:ext>
          </c:extLst>
        </c:ser>
        <c:ser>
          <c:idx val="4"/>
          <c:order val="4"/>
          <c:tx>
            <c:strRef>
              <c:f>Historical!$P$1</c:f>
              <c:strCache>
                <c:ptCount val="1"/>
                <c:pt idx="0">
                  <c:v>MX</c:v>
                </c:pt>
              </c:strCache>
            </c:strRef>
          </c:tx>
          <c:spPr>
            <a:solidFill>
              <a:srgbClr val="00B050"/>
            </a:solidFill>
            <a:ln w="9525" cmpd="sng">
              <a:noFill/>
              <a:prstDash val="solid"/>
              <a:tailEnd type="diamond"/>
            </a:ln>
            <a:effectLst/>
          </c:spPr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04-6316-4821-842D-7B4662D232BE}"/>
              </c:ext>
            </c:extLst>
          </c:dPt>
          <c:cat>
            <c:strRef>
              <c:f>Historical!$J$2:$K$21</c:f>
              <c:strCache>
                <c:ptCount val="20"/>
                <c:pt idx="0">
                  <c:v>07-02-2018</c:v>
                </c:pt>
                <c:pt idx="1">
                  <c:v>08-02-2018</c:v>
                </c:pt>
                <c:pt idx="2">
                  <c:v>09-02-2018</c:v>
                </c:pt>
                <c:pt idx="3">
                  <c:v>12-02-2018</c:v>
                </c:pt>
                <c:pt idx="4">
                  <c:v>13-02-2018</c:v>
                </c:pt>
                <c:pt idx="5">
                  <c:v>14-02-2018</c:v>
                </c:pt>
                <c:pt idx="6">
                  <c:v>15-02-2018</c:v>
                </c:pt>
                <c:pt idx="7">
                  <c:v>16-02-2018</c:v>
                </c:pt>
                <c:pt idx="8">
                  <c:v>19-02-2018</c:v>
                </c:pt>
                <c:pt idx="9">
                  <c:v>20-02-2018</c:v>
                </c:pt>
                <c:pt idx="10">
                  <c:v>21-02-2018</c:v>
                </c:pt>
                <c:pt idx="11">
                  <c:v>22-02-2018</c:v>
                </c:pt>
                <c:pt idx="12">
                  <c:v>23-02-2018</c:v>
                </c:pt>
                <c:pt idx="13">
                  <c:v>26-02-2018</c:v>
                </c:pt>
                <c:pt idx="14">
                  <c:v>27-02-2018</c:v>
                </c:pt>
                <c:pt idx="15">
                  <c:v>28-02-2018</c:v>
                </c:pt>
                <c:pt idx="16">
                  <c:v>01-03-2018</c:v>
                </c:pt>
                <c:pt idx="17">
                  <c:v>02-03-2018</c:v>
                </c:pt>
                <c:pt idx="18">
                  <c:v>05-03-2018</c:v>
                </c:pt>
                <c:pt idx="19">
                  <c:v>06-03-2018</c:v>
                </c:pt>
              </c:strCache>
            </c:strRef>
          </c:cat>
          <c:val>
            <c:numRef>
              <c:f>Historical!$P$2:$P$21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16-4821-842D-7B4662D232BE}"/>
            </c:ext>
          </c:extLst>
        </c:ser>
        <c:ser>
          <c:idx val="5"/>
          <c:order val="5"/>
          <c:tx>
            <c:strRef>
              <c:f>Historical!$Q$1</c:f>
              <c:strCache>
                <c:ptCount val="1"/>
                <c:pt idx="0">
                  <c:v>SOL</c:v>
                </c:pt>
              </c:strCache>
            </c:strRef>
          </c:tx>
          <c:spPr>
            <a:solidFill>
              <a:srgbClr val="C00000"/>
            </a:solidFill>
            <a:ln cap="rnd"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07-02-2018</c:v>
                </c:pt>
                <c:pt idx="1">
                  <c:v>08-02-2018</c:v>
                </c:pt>
                <c:pt idx="2">
                  <c:v>09-02-2018</c:v>
                </c:pt>
                <c:pt idx="3">
                  <c:v>12-02-2018</c:v>
                </c:pt>
                <c:pt idx="4">
                  <c:v>13-02-2018</c:v>
                </c:pt>
                <c:pt idx="5">
                  <c:v>14-02-2018</c:v>
                </c:pt>
                <c:pt idx="6">
                  <c:v>15-02-2018</c:v>
                </c:pt>
                <c:pt idx="7">
                  <c:v>16-02-2018</c:v>
                </c:pt>
                <c:pt idx="8">
                  <c:v>19-02-2018</c:v>
                </c:pt>
                <c:pt idx="9">
                  <c:v>20-02-2018</c:v>
                </c:pt>
                <c:pt idx="10">
                  <c:v>21-02-2018</c:v>
                </c:pt>
                <c:pt idx="11">
                  <c:v>22-02-2018</c:v>
                </c:pt>
                <c:pt idx="12">
                  <c:v>23-02-2018</c:v>
                </c:pt>
                <c:pt idx="13">
                  <c:v>26-02-2018</c:v>
                </c:pt>
                <c:pt idx="14">
                  <c:v>27-02-2018</c:v>
                </c:pt>
                <c:pt idx="15">
                  <c:v>28-02-2018</c:v>
                </c:pt>
                <c:pt idx="16">
                  <c:v>01-03-2018</c:v>
                </c:pt>
                <c:pt idx="17">
                  <c:v>02-03-2018</c:v>
                </c:pt>
                <c:pt idx="18">
                  <c:v>05-03-2018</c:v>
                </c:pt>
                <c:pt idx="19">
                  <c:v>06-03-2018</c:v>
                </c:pt>
              </c:strCache>
            </c:strRef>
          </c:cat>
          <c:val>
            <c:numRef>
              <c:f>Historical!$Q$2:$Q$21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16-4821-842D-7B4662D232BE}"/>
            </c:ext>
          </c:extLst>
        </c:ser>
        <c:ser>
          <c:idx val="7"/>
          <c:order val="6"/>
          <c:tx>
            <c:strRef>
              <c:f>Historical!$R$1</c:f>
              <c:strCache>
                <c:ptCount val="1"/>
                <c:pt idx="0">
                  <c:v>REA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07-02-2018</c:v>
                </c:pt>
                <c:pt idx="1">
                  <c:v>08-02-2018</c:v>
                </c:pt>
                <c:pt idx="2">
                  <c:v>09-02-2018</c:v>
                </c:pt>
                <c:pt idx="3">
                  <c:v>12-02-2018</c:v>
                </c:pt>
                <c:pt idx="4">
                  <c:v>13-02-2018</c:v>
                </c:pt>
                <c:pt idx="5">
                  <c:v>14-02-2018</c:v>
                </c:pt>
                <c:pt idx="6">
                  <c:v>15-02-2018</c:v>
                </c:pt>
                <c:pt idx="7">
                  <c:v>16-02-2018</c:v>
                </c:pt>
                <c:pt idx="8">
                  <c:v>19-02-2018</c:v>
                </c:pt>
                <c:pt idx="9">
                  <c:v>20-02-2018</c:v>
                </c:pt>
                <c:pt idx="10">
                  <c:v>21-02-2018</c:v>
                </c:pt>
                <c:pt idx="11">
                  <c:v>22-02-2018</c:v>
                </c:pt>
                <c:pt idx="12">
                  <c:v>23-02-2018</c:v>
                </c:pt>
                <c:pt idx="13">
                  <c:v>26-02-2018</c:v>
                </c:pt>
                <c:pt idx="14">
                  <c:v>27-02-2018</c:v>
                </c:pt>
                <c:pt idx="15">
                  <c:v>28-02-2018</c:v>
                </c:pt>
                <c:pt idx="16">
                  <c:v>01-03-2018</c:v>
                </c:pt>
                <c:pt idx="17">
                  <c:v>02-03-2018</c:v>
                </c:pt>
                <c:pt idx="18">
                  <c:v>05-03-2018</c:v>
                </c:pt>
                <c:pt idx="19">
                  <c:v>06-03-2018</c:v>
                </c:pt>
              </c:strCache>
            </c:strRef>
          </c:cat>
          <c:val>
            <c:numRef>
              <c:f>Historical!$R$2:$R$21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316-4821-842D-7B4662D23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721472"/>
        <c:axId val="1714773776"/>
      </c:areaChart>
      <c:lineChart>
        <c:grouping val="standard"/>
        <c:varyColors val="0"/>
        <c:ser>
          <c:idx val="6"/>
          <c:order val="7"/>
          <c:tx>
            <c:strRef>
              <c:f>Historical!$S$1</c:f>
              <c:strCache>
                <c:ptCount val="1"/>
                <c:pt idx="0">
                  <c:v>Duration</c:v>
                </c:pt>
              </c:strCache>
            </c:strRef>
          </c:tx>
          <c:spPr>
            <a:ln w="5715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diamond"/>
            <c:size val="21"/>
            <c:spPr>
              <a:solidFill>
                <a:srgbClr val="C00000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Historical!$J$2:$K$21</c:f>
              <c:strCache>
                <c:ptCount val="20"/>
                <c:pt idx="0">
                  <c:v>07-02-2018</c:v>
                </c:pt>
                <c:pt idx="1">
                  <c:v>08-02-2018</c:v>
                </c:pt>
                <c:pt idx="2">
                  <c:v>09-02-2018</c:v>
                </c:pt>
                <c:pt idx="3">
                  <c:v>12-02-2018</c:v>
                </c:pt>
                <c:pt idx="4">
                  <c:v>13-02-2018</c:v>
                </c:pt>
                <c:pt idx="5">
                  <c:v>14-02-2018</c:v>
                </c:pt>
                <c:pt idx="6">
                  <c:v>15-02-2018</c:v>
                </c:pt>
                <c:pt idx="7">
                  <c:v>16-02-2018</c:v>
                </c:pt>
                <c:pt idx="8">
                  <c:v>19-02-2018</c:v>
                </c:pt>
                <c:pt idx="9">
                  <c:v>20-02-2018</c:v>
                </c:pt>
                <c:pt idx="10">
                  <c:v>21-02-2018</c:v>
                </c:pt>
                <c:pt idx="11">
                  <c:v>22-02-2018</c:v>
                </c:pt>
                <c:pt idx="12">
                  <c:v>23-02-2018</c:v>
                </c:pt>
                <c:pt idx="13">
                  <c:v>26-02-2018</c:v>
                </c:pt>
                <c:pt idx="14">
                  <c:v>27-02-2018</c:v>
                </c:pt>
                <c:pt idx="15">
                  <c:v>28-02-2018</c:v>
                </c:pt>
                <c:pt idx="16">
                  <c:v>01-03-2018</c:v>
                </c:pt>
                <c:pt idx="17">
                  <c:v>02-03-2018</c:v>
                </c:pt>
                <c:pt idx="18">
                  <c:v>05-03-2018</c:v>
                </c:pt>
                <c:pt idx="19">
                  <c:v>06-03-2018</c:v>
                </c:pt>
              </c:strCache>
            </c:strRef>
          </c:cat>
          <c:val>
            <c:numRef>
              <c:f>Historical!$S$2:$S$21</c:f>
              <c:numCache>
                <c:formatCode>0.00</c:formatCode>
                <c:ptCount val="20"/>
                <c:pt idx="0">
                  <c:v>6.1616999652355773</c:v>
                </c:pt>
                <c:pt idx="1">
                  <c:v>6.1657040365439144</c:v>
                </c:pt>
                <c:pt idx="2">
                  <c:v>6.1630295853928203</c:v>
                </c:pt>
                <c:pt idx="3">
                  <c:v>6.1558528986497008</c:v>
                </c:pt>
                <c:pt idx="4">
                  <c:v>6.1573138435612957</c:v>
                </c:pt>
                <c:pt idx="5">
                  <c:v>6.1367206483495735</c:v>
                </c:pt>
                <c:pt idx="6">
                  <c:v>6.1296179312083954</c:v>
                </c:pt>
                <c:pt idx="7">
                  <c:v>6.1234010373672874</c:v>
                </c:pt>
                <c:pt idx="8">
                  <c:v>6.121389279921325</c:v>
                </c:pt>
                <c:pt idx="9">
                  <c:v>6.1224102062357977</c:v>
                </c:pt>
                <c:pt idx="10">
                  <c:v>6.1226877953984848</c:v>
                </c:pt>
                <c:pt idx="11">
                  <c:v>6.1206812269886894</c:v>
                </c:pt>
                <c:pt idx="12">
                  <c:v>6.1177676715094789</c:v>
                </c:pt>
                <c:pt idx="13">
                  <c:v>6.118177740245641</c:v>
                </c:pt>
                <c:pt idx="14">
                  <c:v>6.1104830744520608</c:v>
                </c:pt>
                <c:pt idx="15">
                  <c:v>6.1178569324078778</c:v>
                </c:pt>
                <c:pt idx="16">
                  <c:v>6.1408486929735844</c:v>
                </c:pt>
                <c:pt idx="17">
                  <c:v>6.1392800871647042</c:v>
                </c:pt>
                <c:pt idx="18">
                  <c:v>6.1323679233276076</c:v>
                </c:pt>
                <c:pt idx="19">
                  <c:v>6.1295892225810222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6316-4821-842D-7B4662D23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385039"/>
        <c:axId val="377747615"/>
      </c:lineChart>
      <c:dateAx>
        <c:axId val="365385039"/>
        <c:scaling>
          <c:orientation val="minMax"/>
        </c:scaling>
        <c:delete val="0"/>
        <c:axPos val="b"/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377747615"/>
        <c:crosses val="autoZero"/>
        <c:auto val="0"/>
        <c:lblOffset val="100"/>
        <c:baseTimeUnit val="days"/>
        <c:majorUnit val="2"/>
        <c:majorTimeUnit val="days"/>
        <c:minorUnit val="2"/>
        <c:minorTimeUnit val="days"/>
      </c:dateAx>
      <c:valAx>
        <c:axId val="377747615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365385039"/>
        <c:crosses val="autoZero"/>
        <c:crossBetween val="between"/>
        <c:majorUnit val="0.5"/>
      </c:valAx>
      <c:valAx>
        <c:axId val="171477377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1697721472"/>
        <c:crosses val="max"/>
        <c:crossBetween val="between"/>
      </c:valAx>
      <c:catAx>
        <c:axId val="169772147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714773776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4000" b="1">
          <a:solidFill>
            <a:schemeClr val="tx1"/>
          </a:solidFill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4"/>
    </mc:Choice>
    <mc:Fallback>
      <c:style val="1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Spread active position by country</a:t>
            </a:r>
          </a:p>
        </c:rich>
      </c:tx>
      <c:layout>
        <c:manualLayout>
          <c:xMode val="edge"/>
          <c:yMode val="edge"/>
          <c:x val="0.35279507448883413"/>
          <c:y val="2.241630071026137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8610915161028606E-2"/>
          <c:y val="9.250167856924861E-2"/>
          <c:w val="0.89288754159967287"/>
          <c:h val="0.696536429781720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'credito latam'!$E$86</c:f>
              <c:strCache>
                <c:ptCount val="1"/>
                <c:pt idx="0">
                  <c:v>CL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'credito latam'!$D$87:$D$102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latam'!$E$87:$E$102</c:f>
              <c:numCache>
                <c:formatCode>#,##0.0%;\(#,##0.0%\)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4D-4AE1-BECD-F133806B6AE2}"/>
            </c:ext>
          </c:extLst>
        </c:ser>
        <c:ser>
          <c:idx val="1"/>
          <c:order val="1"/>
          <c:tx>
            <c:strRef>
              <c:f>'credito latam'!$F$86</c:f>
              <c:strCache>
                <c:ptCount val="1"/>
                <c:pt idx="0">
                  <c:v>MX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'credito latam'!$D$87:$D$102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latam'!$F$87:$F$102</c:f>
              <c:numCache>
                <c:formatCode>#,##0.0%;\(#,##0.0%\)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4D-4AE1-BECD-F133806B6AE2}"/>
            </c:ext>
          </c:extLst>
        </c:ser>
        <c:ser>
          <c:idx val="2"/>
          <c:order val="2"/>
          <c:tx>
            <c:strRef>
              <c:f>'credito latam'!$G$86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numRef>
              <c:f>'credito latam'!$D$87:$D$102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latam'!$G$87:$G$102</c:f>
              <c:numCache>
                <c:formatCode>#,##0.0%;\(#,##0.0%\)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4D-4AE1-BECD-F133806B6AE2}"/>
            </c:ext>
          </c:extLst>
        </c:ser>
        <c:ser>
          <c:idx val="3"/>
          <c:order val="3"/>
          <c:tx>
            <c:strRef>
              <c:f>'credito latam'!$H$86</c:f>
              <c:strCache>
                <c:ptCount val="1"/>
                <c:pt idx="0">
                  <c:v>PE</c:v>
                </c:pt>
              </c:strCache>
            </c:strRef>
          </c:tx>
          <c:invertIfNegative val="0"/>
          <c:cat>
            <c:numRef>
              <c:f>'credito latam'!$D$87:$D$102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latam'!$H$87:$H$102</c:f>
              <c:numCache>
                <c:formatCode>#,##0.0%;\(#,##0.0%\)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B0-4168-9623-059D29807A1E}"/>
            </c:ext>
          </c:extLst>
        </c:ser>
        <c:ser>
          <c:idx val="4"/>
          <c:order val="4"/>
          <c:tx>
            <c:strRef>
              <c:f>'credito latam'!$I$86</c:f>
              <c:strCache>
                <c:ptCount val="1"/>
                <c:pt idx="0">
                  <c:v>BR</c:v>
                </c:pt>
              </c:strCache>
            </c:strRef>
          </c:tx>
          <c:spPr>
            <a:solidFill>
              <a:schemeClr val="bg2">
                <a:lumMod val="50000"/>
                <a:lumOff val="50000"/>
              </a:schemeClr>
            </a:solidFill>
          </c:spPr>
          <c:invertIfNegative val="0"/>
          <c:cat>
            <c:numRef>
              <c:f>'credito latam'!$D$87:$D$102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latam'!$I$87:$I$102</c:f>
              <c:numCache>
                <c:formatCode>#,##0.0%;\(#,##0.0%\)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B0-4168-9623-059D29807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38332672"/>
        <c:axId val="138547712"/>
      </c:barChart>
      <c:catAx>
        <c:axId val="138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crossAx val="138547712"/>
        <c:crosses val="autoZero"/>
        <c:auto val="1"/>
        <c:lblAlgn val="ctr"/>
        <c:lblOffset val="100"/>
        <c:noMultiLvlLbl val="0"/>
      </c:catAx>
      <c:valAx>
        <c:axId val="138547712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crossAx val="1383326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3600" b="1">
          <a:solidFill>
            <a:schemeClr val="tx1"/>
          </a:solidFill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32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s-CL"/>
              <a:t>Risk/Active Position by duration</a:t>
            </a:r>
          </a:p>
        </c:rich>
      </c:tx>
      <c:layout>
        <c:manualLayout>
          <c:xMode val="edge"/>
          <c:yMode val="edge"/>
          <c:x val="0.35279507448883413"/>
          <c:y val="2.24163007102613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320" b="1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8.9291930401745725E-2"/>
          <c:y val="0.1111022519243918"/>
          <c:w val="0.8553914690020521"/>
          <c:h val="0.70406383025651198"/>
        </c:manualLayout>
      </c:layout>
      <c:barChart>
        <c:barDir val="col"/>
        <c:grouping val="stacked"/>
        <c:varyColors val="0"/>
        <c:ser>
          <c:idx val="0"/>
          <c:order val="0"/>
          <c:tx>
            <c:v>active weight</c:v>
          </c:tx>
          <c:spPr>
            <a:solidFill>
              <a:schemeClr val="accent1"/>
            </a:solidFill>
            <a:ln w="9525" cap="flat" cmpd="sng" algn="ctr">
              <a:solidFill>
                <a:schemeClr val="lt1">
                  <a:shade val="95000"/>
                  <a:satMod val="105000"/>
                </a:schemeClr>
              </a:solidFill>
              <a:prstDash val="solid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'credito latam'!$D$87:$D$102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latam'!$L$87:$L$102</c:f>
              <c:numCache>
                <c:formatCode>#,##0.0%;\(#,##0.0%\)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B7-47B8-AC87-98C99DCBB707}"/>
            </c:ext>
          </c:extLst>
        </c:ser>
        <c:ser>
          <c:idx val="1"/>
          <c:order val="1"/>
          <c:tx>
            <c:v>pcr</c:v>
          </c:tx>
          <c:spPr>
            <a:solidFill>
              <a:schemeClr val="accent6"/>
            </a:solidFill>
            <a:ln w="9525" cap="flat" cmpd="sng" algn="ctr">
              <a:solidFill>
                <a:schemeClr val="lt1">
                  <a:shade val="95000"/>
                  <a:satMod val="105000"/>
                </a:schemeClr>
              </a:solidFill>
              <a:prstDash val="solid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'credito latam'!$D$87:$D$102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latam'!$T$87:$T$102</c:f>
              <c:numCache>
                <c:formatCode>#,##0.0%;\(#,##0.0%\)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B7-47B8-AC87-98C99DCBB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38332672"/>
        <c:axId val="138547712"/>
      </c:barChart>
      <c:catAx>
        <c:axId val="138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138547712"/>
        <c:crosses val="autoZero"/>
        <c:auto val="1"/>
        <c:lblAlgn val="ctr"/>
        <c:lblOffset val="100"/>
        <c:noMultiLvlLbl val="0"/>
      </c:catAx>
      <c:valAx>
        <c:axId val="138547712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13833267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sz="3600" b="1">
          <a:solidFill>
            <a:schemeClr val="tx1"/>
          </a:solidFill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4"/>
    </mc:Choice>
    <mc:Fallback>
      <c:style val="1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Spread position view</a:t>
            </a:r>
          </a:p>
        </c:rich>
      </c:tx>
      <c:layout>
        <c:manualLayout>
          <c:xMode val="edge"/>
          <c:yMode val="edge"/>
          <c:x val="0.44803314680004624"/>
          <c:y val="2.241635585025555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8845521668282029E-2"/>
          <c:y val="0.10350081502970022"/>
          <c:w val="0.88581455619934302"/>
          <c:h val="0.70816256389004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'credito latam'!$E$44</c:f>
              <c:strCache>
                <c:ptCount val="1"/>
                <c:pt idx="0">
                  <c:v>CL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'credito latam'!$D$45:$D$60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latam'!$E$45:$E$60</c:f>
              <c:numCache>
                <c:formatCode>#,##0.0%;\(#,##0.0%\)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FF-4563-BF74-3D64067F5026}"/>
            </c:ext>
          </c:extLst>
        </c:ser>
        <c:ser>
          <c:idx val="1"/>
          <c:order val="1"/>
          <c:tx>
            <c:strRef>
              <c:f>'credito latam'!$F$44</c:f>
              <c:strCache>
                <c:ptCount val="1"/>
                <c:pt idx="0">
                  <c:v>MX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'credito latam'!$D$45:$D$60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latam'!$F$45:$F$60</c:f>
              <c:numCache>
                <c:formatCode>#,##0.0%;\(#,##0.0%\)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FF-4563-BF74-3D64067F5026}"/>
            </c:ext>
          </c:extLst>
        </c:ser>
        <c:ser>
          <c:idx val="2"/>
          <c:order val="2"/>
          <c:tx>
            <c:strRef>
              <c:f>'credito latam'!$G$44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numRef>
              <c:f>'credito latam'!$D$45:$D$60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latam'!$G$45:$G$60</c:f>
              <c:numCache>
                <c:formatCode>#,##0.0%;\(#,##0.0%\)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FF-4563-BF74-3D64067F5026}"/>
            </c:ext>
          </c:extLst>
        </c:ser>
        <c:ser>
          <c:idx val="3"/>
          <c:order val="3"/>
          <c:tx>
            <c:strRef>
              <c:f>'credito latam'!$H$44</c:f>
              <c:strCache>
                <c:ptCount val="1"/>
                <c:pt idx="0">
                  <c:v>PE</c:v>
                </c:pt>
              </c:strCache>
            </c:strRef>
          </c:tx>
          <c:invertIfNegative val="0"/>
          <c:cat>
            <c:numRef>
              <c:f>'credito latam'!$D$45:$D$60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latam'!$H$45:$H$60</c:f>
              <c:numCache>
                <c:formatCode>#,##0.0%;\(#,##0.0%\)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94-47E9-B5B6-A06A0CE9626D}"/>
            </c:ext>
          </c:extLst>
        </c:ser>
        <c:ser>
          <c:idx val="4"/>
          <c:order val="4"/>
          <c:tx>
            <c:strRef>
              <c:f>'credito latam'!$I$44</c:f>
              <c:strCache>
                <c:ptCount val="1"/>
                <c:pt idx="0">
                  <c:v>BR</c:v>
                </c:pt>
              </c:strCache>
            </c:strRef>
          </c:tx>
          <c:spPr>
            <a:solidFill>
              <a:schemeClr val="bg2">
                <a:lumMod val="50000"/>
                <a:lumOff val="50000"/>
              </a:schemeClr>
            </a:solidFill>
          </c:spPr>
          <c:invertIfNegative val="0"/>
          <c:cat>
            <c:numRef>
              <c:f>'credito latam'!$D$45:$D$60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latam'!$I$45:$I$60</c:f>
              <c:numCache>
                <c:formatCode>#,##0.0%;\(#,##0.0%\)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94-47E9-B5B6-A06A0CE96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38332672"/>
        <c:axId val="138547712"/>
      </c:barChart>
      <c:catAx>
        <c:axId val="138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8547712"/>
        <c:crosses val="autoZero"/>
        <c:auto val="1"/>
        <c:lblAlgn val="ctr"/>
        <c:lblOffset val="100"/>
        <c:noMultiLvlLbl val="0"/>
      </c:catAx>
      <c:valAx>
        <c:axId val="138547712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crossAx val="1383326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3600" b="1">
          <a:solidFill>
            <a:schemeClr val="tx1"/>
          </a:solidFill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320" b="1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/>
              <a:t>Historical Tracking Error v/s Duration </a:t>
            </a:r>
            <a:endParaRPr lang="es-MX"/>
          </a:p>
        </c:rich>
      </c:tx>
      <c:layout>
        <c:manualLayout>
          <c:xMode val="edge"/>
          <c:yMode val="edge"/>
          <c:x val="0.35553883019900823"/>
          <c:y val="1.94312715159896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320" b="1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0.1044992216663896"/>
          <c:y val="9.3811848518935134E-2"/>
          <c:w val="0.7573850677494488"/>
          <c:h val="0.76179407106689567"/>
        </c:manualLayout>
      </c:layout>
      <c:areaChart>
        <c:grouping val="stacked"/>
        <c:varyColors val="0"/>
        <c:ser>
          <c:idx val="0"/>
          <c:order val="1"/>
          <c:tx>
            <c:strRef>
              <c:f>Historical!$V$1</c:f>
              <c:strCache>
                <c:ptCount val="1"/>
                <c:pt idx="0">
                  <c:v>mexico</c:v>
                </c:pt>
              </c:strCache>
            </c:strRef>
          </c:tx>
          <c:spPr>
            <a:solidFill>
              <a:srgbClr val="00B050"/>
            </a:solidFill>
            <a:ln cap="rnd">
              <a:noFill/>
            </a:ln>
            <a:effectLst/>
          </c:spPr>
          <c:cat>
            <c:numRef>
              <c:f>Historical!$J$2:$J$21</c:f>
              <c:numCache>
                <c:formatCode>m/d/yyyy</c:formatCode>
                <c:ptCount val="20"/>
                <c:pt idx="0">
                  <c:v>43138</c:v>
                </c:pt>
                <c:pt idx="1">
                  <c:v>43139</c:v>
                </c:pt>
                <c:pt idx="2">
                  <c:v>43140</c:v>
                </c:pt>
                <c:pt idx="3">
                  <c:v>43143</c:v>
                </c:pt>
                <c:pt idx="4">
                  <c:v>43144</c:v>
                </c:pt>
                <c:pt idx="5">
                  <c:v>43145</c:v>
                </c:pt>
                <c:pt idx="6">
                  <c:v>43146</c:v>
                </c:pt>
                <c:pt idx="7">
                  <c:v>43147</c:v>
                </c:pt>
                <c:pt idx="8">
                  <c:v>43150</c:v>
                </c:pt>
                <c:pt idx="9">
                  <c:v>43151</c:v>
                </c:pt>
                <c:pt idx="10">
                  <c:v>43152</c:v>
                </c:pt>
                <c:pt idx="11">
                  <c:v>43153</c:v>
                </c:pt>
                <c:pt idx="12">
                  <c:v>43154</c:v>
                </c:pt>
                <c:pt idx="13">
                  <c:v>43157</c:v>
                </c:pt>
                <c:pt idx="14">
                  <c:v>43158</c:v>
                </c:pt>
                <c:pt idx="15">
                  <c:v>43159</c:v>
                </c:pt>
                <c:pt idx="16">
                  <c:v>43160</c:v>
                </c:pt>
                <c:pt idx="17">
                  <c:v>43161</c:v>
                </c:pt>
                <c:pt idx="18">
                  <c:v>43164</c:v>
                </c:pt>
                <c:pt idx="19">
                  <c:v>43165</c:v>
                </c:pt>
              </c:numCache>
            </c:numRef>
          </c:cat>
          <c:val>
            <c:numRef>
              <c:f>Historical!$V$2:$V$21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67-4C93-B90C-201F3278ABDC}"/>
            </c:ext>
          </c:extLst>
        </c:ser>
        <c:ser>
          <c:idx val="1"/>
          <c:order val="2"/>
          <c:tx>
            <c:strRef>
              <c:f>Historical!$W$1</c:f>
              <c:strCache>
                <c:ptCount val="1"/>
                <c:pt idx="0">
                  <c:v>colombia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cap="rnd">
              <a:noFill/>
            </a:ln>
            <a:effectLst/>
          </c:spPr>
          <c:cat>
            <c:numRef>
              <c:f>Historical!$J$2:$J$21</c:f>
              <c:numCache>
                <c:formatCode>m/d/yyyy</c:formatCode>
                <c:ptCount val="20"/>
                <c:pt idx="0">
                  <c:v>43138</c:v>
                </c:pt>
                <c:pt idx="1">
                  <c:v>43139</c:v>
                </c:pt>
                <c:pt idx="2">
                  <c:v>43140</c:v>
                </c:pt>
                <c:pt idx="3">
                  <c:v>43143</c:v>
                </c:pt>
                <c:pt idx="4">
                  <c:v>43144</c:v>
                </c:pt>
                <c:pt idx="5">
                  <c:v>43145</c:v>
                </c:pt>
                <c:pt idx="6">
                  <c:v>43146</c:v>
                </c:pt>
                <c:pt idx="7">
                  <c:v>43147</c:v>
                </c:pt>
                <c:pt idx="8">
                  <c:v>43150</c:v>
                </c:pt>
                <c:pt idx="9">
                  <c:v>43151</c:v>
                </c:pt>
                <c:pt idx="10">
                  <c:v>43152</c:v>
                </c:pt>
                <c:pt idx="11">
                  <c:v>43153</c:v>
                </c:pt>
                <c:pt idx="12">
                  <c:v>43154</c:v>
                </c:pt>
                <c:pt idx="13">
                  <c:v>43157</c:v>
                </c:pt>
                <c:pt idx="14">
                  <c:v>43158</c:v>
                </c:pt>
                <c:pt idx="15">
                  <c:v>43159</c:v>
                </c:pt>
                <c:pt idx="16">
                  <c:v>43160</c:v>
                </c:pt>
                <c:pt idx="17">
                  <c:v>43161</c:v>
                </c:pt>
                <c:pt idx="18">
                  <c:v>43164</c:v>
                </c:pt>
                <c:pt idx="19">
                  <c:v>43165</c:v>
                </c:pt>
              </c:numCache>
            </c:numRef>
          </c:cat>
          <c:val>
            <c:numRef>
              <c:f>Historical!$W$2:$W$21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67-4C93-B90C-201F3278ABDC}"/>
            </c:ext>
          </c:extLst>
        </c:ser>
        <c:ser>
          <c:idx val="2"/>
          <c:order val="3"/>
          <c:tx>
            <c:strRef>
              <c:f>Historical!$X$1</c:f>
              <c:strCache>
                <c:ptCount val="1"/>
                <c:pt idx="0">
                  <c:v>peru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cap="rnd">
              <a:noFill/>
            </a:ln>
            <a:effectLst/>
          </c:spPr>
          <c:cat>
            <c:numRef>
              <c:f>Historical!$J$2:$J$21</c:f>
              <c:numCache>
                <c:formatCode>m/d/yyyy</c:formatCode>
                <c:ptCount val="20"/>
                <c:pt idx="0">
                  <c:v>43138</c:v>
                </c:pt>
                <c:pt idx="1">
                  <c:v>43139</c:v>
                </c:pt>
                <c:pt idx="2">
                  <c:v>43140</c:v>
                </c:pt>
                <c:pt idx="3">
                  <c:v>43143</c:v>
                </c:pt>
                <c:pt idx="4">
                  <c:v>43144</c:v>
                </c:pt>
                <c:pt idx="5">
                  <c:v>43145</c:v>
                </c:pt>
                <c:pt idx="6">
                  <c:v>43146</c:v>
                </c:pt>
                <c:pt idx="7">
                  <c:v>43147</c:v>
                </c:pt>
                <c:pt idx="8">
                  <c:v>43150</c:v>
                </c:pt>
                <c:pt idx="9">
                  <c:v>43151</c:v>
                </c:pt>
                <c:pt idx="10">
                  <c:v>43152</c:v>
                </c:pt>
                <c:pt idx="11">
                  <c:v>43153</c:v>
                </c:pt>
                <c:pt idx="12">
                  <c:v>43154</c:v>
                </c:pt>
                <c:pt idx="13">
                  <c:v>43157</c:v>
                </c:pt>
                <c:pt idx="14">
                  <c:v>43158</c:v>
                </c:pt>
                <c:pt idx="15">
                  <c:v>43159</c:v>
                </c:pt>
                <c:pt idx="16">
                  <c:v>43160</c:v>
                </c:pt>
                <c:pt idx="17">
                  <c:v>43161</c:v>
                </c:pt>
                <c:pt idx="18">
                  <c:v>43164</c:v>
                </c:pt>
                <c:pt idx="19">
                  <c:v>43165</c:v>
                </c:pt>
              </c:numCache>
            </c:numRef>
          </c:cat>
          <c:val>
            <c:numRef>
              <c:f>Historical!$X$2:$X$21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67-4C93-B90C-201F3278ABDC}"/>
            </c:ext>
          </c:extLst>
        </c:ser>
        <c:ser>
          <c:idx val="3"/>
          <c:order val="4"/>
          <c:tx>
            <c:strRef>
              <c:f>Historical!$Y$1</c:f>
              <c:strCache>
                <c:ptCount val="1"/>
                <c:pt idx="0">
                  <c:v>brazil</c:v>
                </c:pt>
              </c:strCache>
            </c:strRef>
          </c:tx>
          <c:spPr>
            <a:solidFill>
              <a:srgbClr val="FFC000"/>
            </a:solidFill>
            <a:ln cap="rnd">
              <a:noFill/>
            </a:ln>
            <a:effectLst/>
          </c:spPr>
          <c:cat>
            <c:numRef>
              <c:f>Historical!$J$2:$J$21</c:f>
              <c:numCache>
                <c:formatCode>m/d/yyyy</c:formatCode>
                <c:ptCount val="20"/>
                <c:pt idx="0">
                  <c:v>43138</c:v>
                </c:pt>
                <c:pt idx="1">
                  <c:v>43139</c:v>
                </c:pt>
                <c:pt idx="2">
                  <c:v>43140</c:v>
                </c:pt>
                <c:pt idx="3">
                  <c:v>43143</c:v>
                </c:pt>
                <c:pt idx="4">
                  <c:v>43144</c:v>
                </c:pt>
                <c:pt idx="5">
                  <c:v>43145</c:v>
                </c:pt>
                <c:pt idx="6">
                  <c:v>43146</c:v>
                </c:pt>
                <c:pt idx="7">
                  <c:v>43147</c:v>
                </c:pt>
                <c:pt idx="8">
                  <c:v>43150</c:v>
                </c:pt>
                <c:pt idx="9">
                  <c:v>43151</c:v>
                </c:pt>
                <c:pt idx="10">
                  <c:v>43152</c:v>
                </c:pt>
                <c:pt idx="11">
                  <c:v>43153</c:v>
                </c:pt>
                <c:pt idx="12">
                  <c:v>43154</c:v>
                </c:pt>
                <c:pt idx="13">
                  <c:v>43157</c:v>
                </c:pt>
                <c:pt idx="14">
                  <c:v>43158</c:v>
                </c:pt>
                <c:pt idx="15">
                  <c:v>43159</c:v>
                </c:pt>
                <c:pt idx="16">
                  <c:v>43160</c:v>
                </c:pt>
                <c:pt idx="17">
                  <c:v>43161</c:v>
                </c:pt>
                <c:pt idx="18">
                  <c:v>43164</c:v>
                </c:pt>
                <c:pt idx="19">
                  <c:v>43165</c:v>
                </c:pt>
              </c:numCache>
            </c:numRef>
          </c:cat>
          <c:val>
            <c:numRef>
              <c:f>Historical!$Y$2:$Y$21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67-4C93-B90C-201F3278ABDC}"/>
            </c:ext>
          </c:extLst>
        </c:ser>
        <c:ser>
          <c:idx val="6"/>
          <c:order val="5"/>
          <c:tx>
            <c:strRef>
              <c:f>Historical!$Z$1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bg2">
                <a:lumMod val="50000"/>
                <a:lumOff val="50000"/>
              </a:schemeClr>
            </a:solidFill>
            <a:ln cap="rnd">
              <a:noFill/>
            </a:ln>
            <a:effectLst/>
          </c:spPr>
          <c:cat>
            <c:numRef>
              <c:f>Historical!$J$2:$J$21</c:f>
              <c:numCache>
                <c:formatCode>m/d/yyyy</c:formatCode>
                <c:ptCount val="20"/>
                <c:pt idx="0">
                  <c:v>43138</c:v>
                </c:pt>
                <c:pt idx="1">
                  <c:v>43139</c:v>
                </c:pt>
                <c:pt idx="2">
                  <c:v>43140</c:v>
                </c:pt>
                <c:pt idx="3">
                  <c:v>43143</c:v>
                </c:pt>
                <c:pt idx="4">
                  <c:v>43144</c:v>
                </c:pt>
                <c:pt idx="5">
                  <c:v>43145</c:v>
                </c:pt>
                <c:pt idx="6">
                  <c:v>43146</c:v>
                </c:pt>
                <c:pt idx="7">
                  <c:v>43147</c:v>
                </c:pt>
                <c:pt idx="8">
                  <c:v>43150</c:v>
                </c:pt>
                <c:pt idx="9">
                  <c:v>43151</c:v>
                </c:pt>
                <c:pt idx="10">
                  <c:v>43152</c:v>
                </c:pt>
                <c:pt idx="11">
                  <c:v>43153</c:v>
                </c:pt>
                <c:pt idx="12">
                  <c:v>43154</c:v>
                </c:pt>
                <c:pt idx="13">
                  <c:v>43157</c:v>
                </c:pt>
                <c:pt idx="14">
                  <c:v>43158</c:v>
                </c:pt>
                <c:pt idx="15">
                  <c:v>43159</c:v>
                </c:pt>
                <c:pt idx="16">
                  <c:v>43160</c:v>
                </c:pt>
                <c:pt idx="17">
                  <c:v>43161</c:v>
                </c:pt>
                <c:pt idx="18">
                  <c:v>43164</c:v>
                </c:pt>
                <c:pt idx="19">
                  <c:v>43165</c:v>
                </c:pt>
              </c:numCache>
            </c:numRef>
          </c:cat>
          <c:val>
            <c:numRef>
              <c:f>Historical!$Z$2:$Z$21</c:f>
              <c:numCache>
                <c:formatCode>0.00%</c:formatCode>
                <c:ptCount val="20"/>
                <c:pt idx="0">
                  <c:v>3.1517313119686411E-4</c:v>
                </c:pt>
                <c:pt idx="1">
                  <c:v>2.6484660482135257E-4</c:v>
                </c:pt>
                <c:pt idx="2">
                  <c:v>7.2178428405425044E-4</c:v>
                </c:pt>
                <c:pt idx="3">
                  <c:v>5.2252393507707913E-4</c:v>
                </c:pt>
                <c:pt idx="4">
                  <c:v>4.8274229338142227E-4</c:v>
                </c:pt>
                <c:pt idx="5">
                  <c:v>8.6226889689645318E-4</c:v>
                </c:pt>
                <c:pt idx="6">
                  <c:v>1.0495103797060691E-3</c:v>
                </c:pt>
                <c:pt idx="7">
                  <c:v>1.0732163012695331E-3</c:v>
                </c:pt>
                <c:pt idx="8">
                  <c:v>1.3340683209015086E-3</c:v>
                </c:pt>
                <c:pt idx="9">
                  <c:v>1.6491515323690464E-3</c:v>
                </c:pt>
                <c:pt idx="10">
                  <c:v>1.6270217465395422E-3</c:v>
                </c:pt>
                <c:pt idx="11">
                  <c:v>1.7590206798609709E-3</c:v>
                </c:pt>
                <c:pt idx="12">
                  <c:v>1.7037011317166532E-3</c:v>
                </c:pt>
                <c:pt idx="13">
                  <c:v>1.7202178799943875E-3</c:v>
                </c:pt>
                <c:pt idx="14">
                  <c:v>1.6605481023863405E-3</c:v>
                </c:pt>
                <c:pt idx="15">
                  <c:v>1.9038116916066802E-3</c:v>
                </c:pt>
                <c:pt idx="16">
                  <c:v>1.5504381614850305E-3</c:v>
                </c:pt>
                <c:pt idx="17">
                  <c:v>1.2465310548251051E-3</c:v>
                </c:pt>
                <c:pt idx="18">
                  <c:v>7.9841601003065722E-4</c:v>
                </c:pt>
                <c:pt idx="19">
                  <c:v>7.6782224268097062E-4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67-4C93-B90C-201F3278ABDC}"/>
            </c:ext>
          </c:extLst>
        </c:ser>
        <c:ser>
          <c:idx val="5"/>
          <c:order val="6"/>
          <c:tx>
            <c:strRef>
              <c:f>Historical!$U$1</c:f>
              <c:strCache>
                <c:ptCount val="1"/>
                <c:pt idx="0">
                  <c:v>chile</c:v>
                </c:pt>
              </c:strCache>
            </c:strRef>
          </c:tx>
          <c:spPr>
            <a:solidFill>
              <a:srgbClr val="C00000"/>
            </a:solidFill>
            <a:ln w="3175" cap="rnd">
              <a:noFill/>
            </a:ln>
            <a:effectLst/>
          </c:spPr>
          <c:cat>
            <c:numRef>
              <c:f>Historical!$J$2:$J$21</c:f>
              <c:numCache>
                <c:formatCode>m/d/yyyy</c:formatCode>
                <c:ptCount val="20"/>
                <c:pt idx="0">
                  <c:v>43138</c:v>
                </c:pt>
                <c:pt idx="1">
                  <c:v>43139</c:v>
                </c:pt>
                <c:pt idx="2">
                  <c:v>43140</c:v>
                </c:pt>
                <c:pt idx="3">
                  <c:v>43143</c:v>
                </c:pt>
                <c:pt idx="4">
                  <c:v>43144</c:v>
                </c:pt>
                <c:pt idx="5">
                  <c:v>43145</c:v>
                </c:pt>
                <c:pt idx="6">
                  <c:v>43146</c:v>
                </c:pt>
                <c:pt idx="7">
                  <c:v>43147</c:v>
                </c:pt>
                <c:pt idx="8">
                  <c:v>43150</c:v>
                </c:pt>
                <c:pt idx="9">
                  <c:v>43151</c:v>
                </c:pt>
                <c:pt idx="10">
                  <c:v>43152</c:v>
                </c:pt>
                <c:pt idx="11">
                  <c:v>43153</c:v>
                </c:pt>
                <c:pt idx="12">
                  <c:v>43154</c:v>
                </c:pt>
                <c:pt idx="13">
                  <c:v>43157</c:v>
                </c:pt>
                <c:pt idx="14">
                  <c:v>43158</c:v>
                </c:pt>
                <c:pt idx="15">
                  <c:v>43159</c:v>
                </c:pt>
                <c:pt idx="16">
                  <c:v>43160</c:v>
                </c:pt>
                <c:pt idx="17">
                  <c:v>43161</c:v>
                </c:pt>
                <c:pt idx="18">
                  <c:v>43164</c:v>
                </c:pt>
                <c:pt idx="19">
                  <c:v>43165</c:v>
                </c:pt>
              </c:numCache>
            </c:numRef>
          </c:cat>
          <c:val>
            <c:numRef>
              <c:f>Historical!$U$2:$U$21</c:f>
              <c:numCache>
                <c:formatCode>0.00%</c:formatCode>
                <c:ptCount val="20"/>
                <c:pt idx="0">
                  <c:v>2.1230709742241461E-3</c:v>
                </c:pt>
                <c:pt idx="1">
                  <c:v>2.1079331695274691E-3</c:v>
                </c:pt>
                <c:pt idx="2">
                  <c:v>1.7204416108667717E-3</c:v>
                </c:pt>
                <c:pt idx="3">
                  <c:v>2.0565004539812967E-3</c:v>
                </c:pt>
                <c:pt idx="4">
                  <c:v>2.0168372338512891E-3</c:v>
                </c:pt>
                <c:pt idx="5">
                  <c:v>1.8035302805058592E-3</c:v>
                </c:pt>
                <c:pt idx="6">
                  <c:v>1.5817231137309812E-3</c:v>
                </c:pt>
                <c:pt idx="7">
                  <c:v>1.5164129804155675E-3</c:v>
                </c:pt>
                <c:pt idx="8">
                  <c:v>1.2429235386564926E-3</c:v>
                </c:pt>
                <c:pt idx="9">
                  <c:v>1.1494978474838036E-3</c:v>
                </c:pt>
                <c:pt idx="10">
                  <c:v>1.0844936268768464E-3</c:v>
                </c:pt>
                <c:pt idx="11">
                  <c:v>9.4456245690519372E-4</c:v>
                </c:pt>
                <c:pt idx="12">
                  <c:v>9.3862171023446038E-4</c:v>
                </c:pt>
                <c:pt idx="13">
                  <c:v>7.7485530928548911E-4</c:v>
                </c:pt>
                <c:pt idx="14">
                  <c:v>7.6836617966919048E-4</c:v>
                </c:pt>
                <c:pt idx="15">
                  <c:v>5.145737774329167E-4</c:v>
                </c:pt>
                <c:pt idx="16">
                  <c:v>7.48515124745433E-4</c:v>
                </c:pt>
                <c:pt idx="17">
                  <c:v>1.0960691831677924E-3</c:v>
                </c:pt>
                <c:pt idx="18">
                  <c:v>1.5205769694259293E-3</c:v>
                </c:pt>
                <c:pt idx="19">
                  <c:v>1.6233451624173719E-3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E2-4D53-A8EE-379994D50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385039"/>
        <c:axId val="377747615"/>
      </c:areaChart>
      <c:lineChart>
        <c:grouping val="standard"/>
        <c:varyColors val="0"/>
        <c:ser>
          <c:idx val="4"/>
          <c:order val="0"/>
          <c:tx>
            <c:strRef>
              <c:f>Historical!$S$1</c:f>
              <c:strCache>
                <c:ptCount val="1"/>
                <c:pt idx="0">
                  <c:v>Duration</c:v>
                </c:pt>
              </c:strCache>
            </c:strRef>
          </c:tx>
          <c:spPr>
            <a:ln w="66675" cap="rnd" cmpd="sng">
              <a:solidFill>
                <a:schemeClr val="tx1">
                  <a:lumMod val="50000"/>
                </a:schemeClr>
              </a:solidFill>
              <a:prstDash val="sysDash"/>
              <a:round/>
              <a:tailEnd type="diamond"/>
            </a:ln>
            <a:effectLst/>
          </c:spPr>
          <c:marker>
            <c:symbol val="circle"/>
            <c:size val="27"/>
            <c:spPr>
              <a:solidFill>
                <a:schemeClr val="bg2"/>
              </a:solidFill>
              <a:ln w="53975">
                <a:solidFill>
                  <a:schemeClr val="bg2"/>
                </a:solidFill>
              </a:ln>
              <a:effectLst/>
            </c:spPr>
          </c:marker>
          <c:dPt>
            <c:idx val="15"/>
            <c:marker>
              <c:symbol val="circle"/>
              <c:size val="5"/>
              <c:spPr>
                <a:solidFill>
                  <a:schemeClr val="bg2"/>
                </a:solidFill>
                <a:ln w="53975">
                  <a:solidFill>
                    <a:schemeClr val="bg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19C-4F60-9469-B47E59F6E313}"/>
              </c:ext>
            </c:extLst>
          </c:dPt>
          <c:cat>
            <c:numRef>
              <c:f>Historical!$J$2:$J$21</c:f>
              <c:numCache>
                <c:formatCode>m/d/yyyy</c:formatCode>
                <c:ptCount val="20"/>
                <c:pt idx="0">
                  <c:v>43138</c:v>
                </c:pt>
                <c:pt idx="1">
                  <c:v>43139</c:v>
                </c:pt>
                <c:pt idx="2">
                  <c:v>43140</c:v>
                </c:pt>
                <c:pt idx="3">
                  <c:v>43143</c:v>
                </c:pt>
                <c:pt idx="4">
                  <c:v>43144</c:v>
                </c:pt>
                <c:pt idx="5">
                  <c:v>43145</c:v>
                </c:pt>
                <c:pt idx="6">
                  <c:v>43146</c:v>
                </c:pt>
                <c:pt idx="7">
                  <c:v>43147</c:v>
                </c:pt>
                <c:pt idx="8">
                  <c:v>43150</c:v>
                </c:pt>
                <c:pt idx="9">
                  <c:v>43151</c:v>
                </c:pt>
                <c:pt idx="10">
                  <c:v>43152</c:v>
                </c:pt>
                <c:pt idx="11">
                  <c:v>43153</c:v>
                </c:pt>
                <c:pt idx="12">
                  <c:v>43154</c:v>
                </c:pt>
                <c:pt idx="13">
                  <c:v>43157</c:v>
                </c:pt>
                <c:pt idx="14">
                  <c:v>43158</c:v>
                </c:pt>
                <c:pt idx="15">
                  <c:v>43159</c:v>
                </c:pt>
                <c:pt idx="16">
                  <c:v>43160</c:v>
                </c:pt>
                <c:pt idx="17">
                  <c:v>43161</c:v>
                </c:pt>
                <c:pt idx="18">
                  <c:v>43164</c:v>
                </c:pt>
                <c:pt idx="19">
                  <c:v>43165</c:v>
                </c:pt>
              </c:numCache>
            </c:numRef>
          </c:cat>
          <c:val>
            <c:numRef>
              <c:f>Historical!$S$2:$S$21</c:f>
              <c:numCache>
                <c:formatCode>0.00</c:formatCode>
                <c:ptCount val="20"/>
                <c:pt idx="0">
                  <c:v>6.1616999652355773</c:v>
                </c:pt>
                <c:pt idx="1">
                  <c:v>6.1657040365439144</c:v>
                </c:pt>
                <c:pt idx="2">
                  <c:v>6.1630295853928203</c:v>
                </c:pt>
                <c:pt idx="3">
                  <c:v>6.1558528986497008</c:v>
                </c:pt>
                <c:pt idx="4">
                  <c:v>6.1573138435612957</c:v>
                </c:pt>
                <c:pt idx="5">
                  <c:v>6.1367206483495735</c:v>
                </c:pt>
                <c:pt idx="6">
                  <c:v>6.1296179312083954</c:v>
                </c:pt>
                <c:pt idx="7">
                  <c:v>6.1234010373672874</c:v>
                </c:pt>
                <c:pt idx="8">
                  <c:v>6.121389279921325</c:v>
                </c:pt>
                <c:pt idx="9">
                  <c:v>6.1224102062357977</c:v>
                </c:pt>
                <c:pt idx="10">
                  <c:v>6.1226877953984848</c:v>
                </c:pt>
                <c:pt idx="11">
                  <c:v>6.1206812269886894</c:v>
                </c:pt>
                <c:pt idx="12">
                  <c:v>6.1177676715094789</c:v>
                </c:pt>
                <c:pt idx="13">
                  <c:v>6.118177740245641</c:v>
                </c:pt>
                <c:pt idx="14">
                  <c:v>6.1104830744520608</c:v>
                </c:pt>
                <c:pt idx="15">
                  <c:v>6.1178569324078778</c:v>
                </c:pt>
                <c:pt idx="16">
                  <c:v>6.1408486929735844</c:v>
                </c:pt>
                <c:pt idx="17">
                  <c:v>6.1392800871647042</c:v>
                </c:pt>
                <c:pt idx="18">
                  <c:v>6.1323679233276076</c:v>
                </c:pt>
                <c:pt idx="19">
                  <c:v>6.1295892225810222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F19C-4F60-9469-B47E59F6E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9277168"/>
        <c:axId val="946983552"/>
      </c:lineChart>
      <c:dateAx>
        <c:axId val="365385039"/>
        <c:scaling>
          <c:orientation val="minMax"/>
        </c:scaling>
        <c:delete val="0"/>
        <c:axPos val="b"/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377747615"/>
        <c:crosses val="autoZero"/>
        <c:auto val="0"/>
        <c:lblOffset val="100"/>
        <c:baseTimeUnit val="days"/>
        <c:majorUnit val="3"/>
        <c:majorTimeUnit val="days"/>
      </c:dateAx>
      <c:valAx>
        <c:axId val="377747615"/>
        <c:scaling>
          <c:orientation val="minMax"/>
        </c:scaling>
        <c:delete val="0"/>
        <c:axPos val="l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365385039"/>
        <c:crosses val="autoZero"/>
        <c:crossBetween val="between"/>
      </c:valAx>
      <c:valAx>
        <c:axId val="94698355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809277168"/>
        <c:crosses val="max"/>
        <c:crossBetween val="between"/>
        <c:majorUnit val="0.5"/>
      </c:valAx>
      <c:catAx>
        <c:axId val="80927716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46983552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3600" b="1">
          <a:solidFill>
            <a:schemeClr val="tx1"/>
          </a:solidFill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320" b="1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s-MX"/>
              <a:t>Active Position vs Risk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320" b="1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9.1191754965814456E-2"/>
          <c:y val="9.6494340482877222E-2"/>
          <c:w val="0.83918335439551539"/>
          <c:h val="0.79580502540928555"/>
        </c:manualLayout>
      </c:layout>
      <c:barChart>
        <c:barDir val="col"/>
        <c:grouping val="stacked"/>
        <c:varyColors val="0"/>
        <c:ser>
          <c:idx val="0"/>
          <c:order val="0"/>
          <c:tx>
            <c:v>active weight</c:v>
          </c:tx>
          <c:spPr>
            <a:solidFill>
              <a:schemeClr val="tx2"/>
            </a:solidFill>
            <a:ln w="15875">
              <a:solidFill>
                <a:schemeClr val="bg1"/>
              </a:solidFill>
            </a:ln>
            <a:effectLst/>
          </c:spPr>
          <c:invertIfNegative val="0"/>
          <c:cat>
            <c:strRef>
              <c:f>'credito latam'!$M$86:$R$86</c:f>
              <c:strCache>
                <c:ptCount val="6"/>
                <c:pt idx="0">
                  <c:v>CL</c:v>
                </c:pt>
                <c:pt idx="1">
                  <c:v>MX</c:v>
                </c:pt>
                <c:pt idx="2">
                  <c:v>CO</c:v>
                </c:pt>
                <c:pt idx="3">
                  <c:v>PE</c:v>
                </c:pt>
                <c:pt idx="4">
                  <c:v>BR</c:v>
                </c:pt>
                <c:pt idx="5">
                  <c:v>PA</c:v>
                </c:pt>
              </c:strCache>
            </c:strRef>
          </c:cat>
          <c:val>
            <c:numRef>
              <c:f>'credito latam'!$E$103:$J$103</c:f>
              <c:numCache>
                <c:formatCode>#,##0.0%;\(#,##0.0%\)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76-4D4F-8FD7-57B9DEB22741}"/>
            </c:ext>
          </c:extLst>
        </c:ser>
        <c:ser>
          <c:idx val="1"/>
          <c:order val="1"/>
          <c:tx>
            <c:v>pcr</c:v>
          </c:tx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'credito latam'!$M$86:$R$86</c:f>
              <c:strCache>
                <c:ptCount val="6"/>
                <c:pt idx="0">
                  <c:v>CL</c:v>
                </c:pt>
                <c:pt idx="1">
                  <c:v>MX</c:v>
                </c:pt>
                <c:pt idx="2">
                  <c:v>CO</c:v>
                </c:pt>
                <c:pt idx="3">
                  <c:v>PE</c:v>
                </c:pt>
                <c:pt idx="4">
                  <c:v>BR</c:v>
                </c:pt>
                <c:pt idx="5">
                  <c:v>PA</c:v>
                </c:pt>
              </c:strCache>
            </c:strRef>
          </c:cat>
          <c:val>
            <c:numRef>
              <c:f>'credito latam'!$M$103:$R$103</c:f>
              <c:numCache>
                <c:formatCode>#,##0.0%;\(#,##0.0%\)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76-4D4F-8FD7-57B9DEB22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2"/>
        <c:overlap val="100"/>
        <c:axId val="855323344"/>
        <c:axId val="848157968"/>
      </c:barChart>
      <c:catAx>
        <c:axId val="85532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63500" cap="flat" cmpd="sng" algn="ctr">
            <a:solidFill>
              <a:schemeClr val="tx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848157968"/>
        <c:crosses val="autoZero"/>
        <c:auto val="0"/>
        <c:lblAlgn val="ctr"/>
        <c:lblOffset val="100"/>
        <c:noMultiLvlLbl val="0"/>
      </c:catAx>
      <c:valAx>
        <c:axId val="848157968"/>
        <c:scaling>
          <c:orientation val="minMax"/>
          <c:max val="0.5"/>
          <c:min val="-5.000000000000001E-2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85532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3600" b="1">
          <a:solidFill>
            <a:schemeClr val="tx1"/>
          </a:solidFill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4"/>
    </mc:Choice>
    <mc:Fallback>
      <c:style val="14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122753272862173E-2"/>
          <c:y val="6.2014324480626361E-2"/>
          <c:w val="0.82978273516915357"/>
          <c:h val="0.7588340188819682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'renta fija'!$T$16</c:f>
              <c:strCache>
                <c:ptCount val="1"/>
                <c:pt idx="0">
                  <c:v>dep $</c:v>
                </c:pt>
              </c:strCache>
            </c:strRef>
          </c:tx>
          <c:spPr>
            <a:solidFill>
              <a:schemeClr val="accent6"/>
            </a:solidFill>
            <a:ln w="9525"/>
            <a:effectLst>
              <a:outerShdw blurRad="40000" dist="20000" dir="5400000" sx="1000" sy="1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'renta fija'!$R$17:$R$44</c:f>
              <c:numCache>
                <c:formatCode>General</c:formatCode>
                <c:ptCount val="2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720</c:v>
                </c:pt>
                <c:pt idx="26">
                  <c:v>1080</c:v>
                </c:pt>
                <c:pt idx="27">
                  <c:v>3600</c:v>
                </c:pt>
              </c:numCache>
            </c:numRef>
          </c:cat>
          <c:val>
            <c:numRef>
              <c:f>'renta fija'!$T$17:$T$44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57-4C4E-9610-34E95EC5F272}"/>
            </c:ext>
          </c:extLst>
        </c:ser>
        <c:ser>
          <c:idx val="1"/>
          <c:order val="1"/>
          <c:tx>
            <c:strRef>
              <c:f>'renta fija'!$U$16</c:f>
              <c:strCache>
                <c:ptCount val="1"/>
                <c:pt idx="0">
                  <c:v>dep UF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numRef>
              <c:f>'renta fija'!$R$17:$R$44</c:f>
              <c:numCache>
                <c:formatCode>General</c:formatCode>
                <c:ptCount val="2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720</c:v>
                </c:pt>
                <c:pt idx="26">
                  <c:v>1080</c:v>
                </c:pt>
                <c:pt idx="27">
                  <c:v>3600</c:v>
                </c:pt>
              </c:numCache>
            </c:numRef>
          </c:cat>
          <c:val>
            <c:numRef>
              <c:f>'renta fija'!$U$17:$U$44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57-4C4E-9610-34E95EC5F272}"/>
            </c:ext>
          </c:extLst>
        </c:ser>
        <c:ser>
          <c:idx val="2"/>
          <c:order val="2"/>
          <c:tx>
            <c:strRef>
              <c:f>'renta fija'!$V$16</c:f>
              <c:strCache>
                <c:ptCount val="1"/>
                <c:pt idx="0">
                  <c:v>dep US$</c:v>
                </c:pt>
              </c:strCache>
            </c:strRef>
          </c:tx>
          <c:spPr>
            <a:solidFill>
              <a:schemeClr val="bg2">
                <a:lumMod val="90000"/>
                <a:lumOff val="10000"/>
              </a:schemeClr>
            </a:solidFill>
          </c:spPr>
          <c:invertIfNegative val="0"/>
          <c:cat>
            <c:numRef>
              <c:f>'renta fija'!$R$17:$R$44</c:f>
              <c:numCache>
                <c:formatCode>General</c:formatCode>
                <c:ptCount val="2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720</c:v>
                </c:pt>
                <c:pt idx="26">
                  <c:v>1080</c:v>
                </c:pt>
                <c:pt idx="27">
                  <c:v>3600</c:v>
                </c:pt>
              </c:numCache>
            </c:numRef>
          </c:cat>
          <c:val>
            <c:numRef>
              <c:f>'renta fija'!$V$17:$V$44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57-4C4E-9610-34E95EC5F272}"/>
            </c:ext>
          </c:extLst>
        </c:ser>
        <c:ser>
          <c:idx val="5"/>
          <c:order val="3"/>
          <c:tx>
            <c:strRef>
              <c:f>'renta fija'!$W$16</c:f>
              <c:strCache>
                <c:ptCount val="1"/>
                <c:pt idx="0">
                  <c:v>gob $</c:v>
                </c:pt>
              </c:strCache>
            </c:strRef>
          </c:tx>
          <c:invertIfNegative val="0"/>
          <c:cat>
            <c:numRef>
              <c:f>'renta fija'!$R$17:$R$44</c:f>
              <c:numCache>
                <c:formatCode>General</c:formatCode>
                <c:ptCount val="2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720</c:v>
                </c:pt>
                <c:pt idx="26">
                  <c:v>1080</c:v>
                </c:pt>
                <c:pt idx="27">
                  <c:v>3600</c:v>
                </c:pt>
              </c:numCache>
            </c:numRef>
          </c:cat>
          <c:val>
            <c:numRef>
              <c:f>'renta fija'!$W$17:$W$44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94-4AF3-A86A-59D5C75E2CDB}"/>
            </c:ext>
          </c:extLst>
        </c:ser>
        <c:ser>
          <c:idx val="6"/>
          <c:order val="4"/>
          <c:tx>
            <c:strRef>
              <c:f>'renta fija'!$X$16</c:f>
              <c:strCache>
                <c:ptCount val="1"/>
                <c:pt idx="0">
                  <c:v>gob UF</c:v>
                </c:pt>
              </c:strCache>
            </c:strRef>
          </c:tx>
          <c:invertIfNegative val="0"/>
          <c:cat>
            <c:numRef>
              <c:f>'renta fija'!$R$17:$R$44</c:f>
              <c:numCache>
                <c:formatCode>General</c:formatCode>
                <c:ptCount val="2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720</c:v>
                </c:pt>
                <c:pt idx="26">
                  <c:v>1080</c:v>
                </c:pt>
                <c:pt idx="27">
                  <c:v>3600</c:v>
                </c:pt>
              </c:numCache>
            </c:numRef>
          </c:cat>
          <c:val>
            <c:numRef>
              <c:f>'renta fija'!$X$17:$X$44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94-4AF3-A86A-59D5C75E2CDB}"/>
            </c:ext>
          </c:extLst>
        </c:ser>
        <c:ser>
          <c:idx val="7"/>
          <c:order val="5"/>
          <c:tx>
            <c:strRef>
              <c:f>'renta fija'!$Y$16</c:f>
              <c:strCache>
                <c:ptCount val="1"/>
                <c:pt idx="0">
                  <c:v>gob US$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numRef>
              <c:f>'renta fija'!$R$17:$R$44</c:f>
              <c:numCache>
                <c:formatCode>General</c:formatCode>
                <c:ptCount val="2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720</c:v>
                </c:pt>
                <c:pt idx="26">
                  <c:v>1080</c:v>
                </c:pt>
                <c:pt idx="27">
                  <c:v>3600</c:v>
                </c:pt>
              </c:numCache>
            </c:numRef>
          </c:cat>
          <c:val>
            <c:numRef>
              <c:f>'renta fija'!$Y$17:$Y$44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94-4AF3-A86A-59D5C75E2CDB}"/>
            </c:ext>
          </c:extLst>
        </c:ser>
        <c:ser>
          <c:idx val="8"/>
          <c:order val="6"/>
          <c:tx>
            <c:strRef>
              <c:f>'renta fija'!$Z$16</c:f>
              <c:strCache>
                <c:ptCount val="1"/>
                <c:pt idx="0">
                  <c:v>spread $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'renta fija'!$R$17:$R$44</c:f>
              <c:numCache>
                <c:formatCode>General</c:formatCode>
                <c:ptCount val="2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720</c:v>
                </c:pt>
                <c:pt idx="26">
                  <c:v>1080</c:v>
                </c:pt>
                <c:pt idx="27">
                  <c:v>3600</c:v>
                </c:pt>
              </c:numCache>
            </c:numRef>
          </c:cat>
          <c:val>
            <c:numRef>
              <c:f>'renta fija'!$Z$17:$Z$44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94-4AF3-A86A-59D5C75E2CDB}"/>
            </c:ext>
          </c:extLst>
        </c:ser>
        <c:ser>
          <c:idx val="9"/>
          <c:order val="7"/>
          <c:tx>
            <c:strRef>
              <c:f>'renta fija'!$AA$16</c:f>
              <c:strCache>
                <c:ptCount val="1"/>
                <c:pt idx="0">
                  <c:v>spread UF</c:v>
                </c:pt>
              </c:strCache>
            </c:strRef>
          </c:tx>
          <c:spPr>
            <a:solidFill>
              <a:schemeClr val="bg2">
                <a:lumMod val="50000"/>
                <a:lumOff val="50000"/>
              </a:schemeClr>
            </a:solidFill>
          </c:spPr>
          <c:invertIfNegative val="0"/>
          <c:cat>
            <c:numRef>
              <c:f>'renta fija'!$R$17:$R$44</c:f>
              <c:numCache>
                <c:formatCode>General</c:formatCode>
                <c:ptCount val="2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720</c:v>
                </c:pt>
                <c:pt idx="26">
                  <c:v>1080</c:v>
                </c:pt>
                <c:pt idx="27">
                  <c:v>3600</c:v>
                </c:pt>
              </c:numCache>
            </c:numRef>
          </c:cat>
          <c:val>
            <c:numRef>
              <c:f>'renta fija'!$AA$17:$AA$44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94-4AF3-A86A-59D5C75E2CDB}"/>
            </c:ext>
          </c:extLst>
        </c:ser>
        <c:ser>
          <c:idx val="3"/>
          <c:order val="10"/>
          <c:tx>
            <c:strRef>
              <c:f>'renta fija'!$AB$16</c:f>
              <c:strCache>
                <c:ptCount val="1"/>
                <c:pt idx="0">
                  <c:v>spread US$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'renta fija'!$R$17:$R$44</c:f>
              <c:numCache>
                <c:formatCode>General</c:formatCode>
                <c:ptCount val="2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720</c:v>
                </c:pt>
                <c:pt idx="26">
                  <c:v>1080</c:v>
                </c:pt>
                <c:pt idx="27">
                  <c:v>3600</c:v>
                </c:pt>
              </c:numCache>
            </c:numRef>
          </c:cat>
          <c:val>
            <c:numRef>
              <c:f>'renta fija'!$AB$17:$AB$44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D5-4DAB-B45E-82F300B8B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332672"/>
        <c:axId val="138547712"/>
      </c:barChart>
      <c:lineChart>
        <c:grouping val="standard"/>
        <c:varyColors val="0"/>
        <c:ser>
          <c:idx val="11"/>
          <c:order val="8"/>
          <c:tx>
            <c:strRef>
              <c:f>'renta fija'!$AE$16</c:f>
              <c:strCache>
                <c:ptCount val="1"/>
                <c:pt idx="0">
                  <c:v>cty</c:v>
                </c:pt>
              </c:strCache>
            </c:strRef>
          </c:tx>
          <c:spPr>
            <a:ln w="177800">
              <a:gradFill>
                <a:gsLst>
                  <a:gs pos="0">
                    <a:srgbClr val="C00000"/>
                  </a:gs>
                  <a:gs pos="47000">
                    <a:schemeClr val="accent1">
                      <a:lumMod val="45000"/>
                      <a:lumOff val="55000"/>
                    </a:schemeClr>
                  </a:gs>
                  <a:gs pos="57000">
                    <a:schemeClr val="accent1">
                      <a:lumMod val="45000"/>
                      <a:lumOff val="55000"/>
                    </a:schemeClr>
                  </a:gs>
                  <a:gs pos="68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sysDot"/>
            </a:ln>
          </c:spPr>
          <c:marker>
            <c:symbol val="diamond"/>
            <c:size val="60"/>
            <c:spPr>
              <a:solidFill>
                <a:srgbClr val="C00000"/>
              </a:solidFill>
              <a:ln w="130175">
                <a:solidFill>
                  <a:schemeClr val="bg2">
                    <a:lumMod val="90000"/>
                    <a:lumOff val="10000"/>
                  </a:schemeClr>
                </a:solidFill>
              </a:ln>
            </c:spPr>
          </c:marker>
          <c:cat>
            <c:numRef>
              <c:f>'renta fija'!$R$17:$R$44</c:f>
              <c:numCache>
                <c:formatCode>General</c:formatCode>
                <c:ptCount val="2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720</c:v>
                </c:pt>
                <c:pt idx="26">
                  <c:v>1080</c:v>
                </c:pt>
                <c:pt idx="27">
                  <c:v>3600</c:v>
                </c:pt>
              </c:numCache>
            </c:numRef>
          </c:cat>
          <c:val>
            <c:numRef>
              <c:f>'renta fija'!$AE$17:$AE$44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52-45BA-B9D8-1AF0E137496A}"/>
            </c:ext>
          </c:extLst>
        </c:ser>
        <c:ser>
          <c:idx val="12"/>
          <c:order val="9"/>
          <c:tx>
            <c:strRef>
              <c:f>'renta fija'!$AF$16</c:f>
              <c:strCache>
                <c:ptCount val="1"/>
                <c:pt idx="0">
                  <c:v>yield</c:v>
                </c:pt>
              </c:strCache>
            </c:strRef>
          </c:tx>
          <c:spPr>
            <a:ln>
              <a:gradFill>
                <a:gsLst>
                  <a:gs pos="0">
                    <a:srgbClr val="00B050"/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sysDash"/>
            </a:ln>
          </c:spPr>
          <c:marker>
            <c:symbol val="diamond"/>
            <c:size val="60"/>
            <c:spPr>
              <a:solidFill>
                <a:srgbClr val="00B050"/>
              </a:solidFill>
              <a:ln>
                <a:solidFill>
                  <a:schemeClr val="bg2">
                    <a:lumMod val="90000"/>
                    <a:lumOff val="10000"/>
                  </a:schemeClr>
                </a:solidFill>
              </a:ln>
            </c:spPr>
          </c:marker>
          <c:cat>
            <c:numRef>
              <c:f>'renta fija'!$R$17:$R$44</c:f>
              <c:numCache>
                <c:formatCode>General</c:formatCode>
                <c:ptCount val="2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720</c:v>
                </c:pt>
                <c:pt idx="26">
                  <c:v>1080</c:v>
                </c:pt>
                <c:pt idx="27">
                  <c:v>3600</c:v>
                </c:pt>
              </c:numCache>
            </c:numRef>
          </c:cat>
          <c:val>
            <c:numRef>
              <c:f>'renta fija'!$AF$17:$AF$44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52-45BA-B9D8-1AF0E1374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6499520"/>
        <c:axId val="1807794352"/>
      </c:lineChart>
      <c:catAx>
        <c:axId val="138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8547712"/>
        <c:crosses val="autoZero"/>
        <c:auto val="1"/>
        <c:lblAlgn val="ctr"/>
        <c:lblOffset val="100"/>
        <c:noMultiLvlLbl val="0"/>
      </c:catAx>
      <c:valAx>
        <c:axId val="138547712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crossAx val="138332672"/>
        <c:crosses val="autoZero"/>
        <c:crossBetween val="between"/>
      </c:valAx>
      <c:valAx>
        <c:axId val="1807794352"/>
        <c:scaling>
          <c:orientation val="minMax"/>
        </c:scaling>
        <c:delete val="0"/>
        <c:axPos val="r"/>
        <c:numFmt formatCode="#,##0.0%;\(#,##0.0%\)" sourceLinked="1"/>
        <c:majorTickMark val="out"/>
        <c:minorTickMark val="none"/>
        <c:tickLblPos val="nextTo"/>
        <c:spPr>
          <a:solidFill>
            <a:sysClr val="window" lastClr="FFFFFF"/>
          </a:solidFill>
        </c:spPr>
        <c:crossAx val="1886499520"/>
        <c:crosses val="max"/>
        <c:crossBetween val="between"/>
      </c:valAx>
      <c:catAx>
        <c:axId val="1886499520"/>
        <c:scaling>
          <c:orientation val="minMax"/>
        </c:scaling>
        <c:delete val="1"/>
        <c:axPos val="b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s-MX"/>
                  <a:t>Yield</a:t>
                </a:r>
              </a:p>
            </c:rich>
          </c:tx>
          <c:layout>
            <c:manualLayout>
              <c:xMode val="edge"/>
              <c:yMode val="edge"/>
              <c:x val="0.9607611717345621"/>
              <c:y val="0.40008323213329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80779435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5.6928528588014546E-2"/>
          <c:y val="0.90653287633163504"/>
          <c:w val="0.88957070932171212"/>
          <c:h val="4.9767287324378573E-2"/>
        </c:manualLayout>
      </c:layout>
      <c:overlay val="0"/>
      <c:spPr>
        <a:noFill/>
        <a:effectLst>
          <a:glow>
            <a:schemeClr val="accent1">
              <a:alpha val="40000"/>
            </a:schemeClr>
          </a:glow>
        </a:effectLst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800" b="1">
          <a:solidFill>
            <a:schemeClr val="tx1"/>
          </a:solidFill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'renta variable'!$P$19</c:f>
              <c:strCache>
                <c:ptCount val="1"/>
                <c:pt idx="0">
                  <c:v>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'renta variable'!$K$20:$K$34</c:f>
              <c:strCache>
                <c:ptCount val="15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</c:strCache>
            </c:strRef>
          </c:cat>
          <c:val>
            <c:numRef>
              <c:f>'renta variable'!$P$20:$P$34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3C-4DD8-A6D7-BAC4D378532D}"/>
            </c:ext>
          </c:extLst>
        </c:ser>
        <c:ser>
          <c:idx val="1"/>
          <c:order val="1"/>
          <c:tx>
            <c:strRef>
              <c:f>'renta variable'!$O$19</c:f>
              <c:strCache>
                <c:ptCount val="1"/>
                <c:pt idx="0">
                  <c:v>pcr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'renta variable'!$K$20:$K$34</c:f>
              <c:strCache>
                <c:ptCount val="15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</c:strCache>
            </c:strRef>
          </c:cat>
          <c:val>
            <c:numRef>
              <c:f>'renta variable'!$O$20:$O$34</c:f>
              <c:numCache>
                <c:formatCode>#,##0.00%;[Red]\(#,##0.00%\)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3C-4DD8-A6D7-BAC4D378532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07927744"/>
        <c:axId val="676029024"/>
      </c:barChart>
      <c:catAx>
        <c:axId val="70792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cap="none" spc="0" normalizeH="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s-CL"/>
          </a:p>
        </c:txPr>
        <c:crossAx val="676029024"/>
        <c:crosses val="autoZero"/>
        <c:auto val="1"/>
        <c:lblAlgn val="ctr"/>
        <c:lblOffset val="100"/>
        <c:noMultiLvlLbl val="0"/>
      </c:catAx>
      <c:valAx>
        <c:axId val="676029024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s-CL"/>
          </a:p>
        </c:txPr>
        <c:crossAx val="707927744"/>
        <c:crosses val="autoZero"/>
        <c:crossBetween val="between"/>
      </c:valAx>
      <c:spPr>
        <a:pattFill prst="ltDnDiag">
          <a:fgClr>
            <a:srgbClr val="000000">
              <a:alpha val="0"/>
            </a:srgbClr>
          </a:fgClr>
          <a:bgClr>
            <a:srgbClr val="FFFFFF"/>
          </a:bgClr>
        </a:pattFill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3600" b="1">
          <a:solidFill>
            <a:schemeClr val="tx1"/>
          </a:solidFill>
          <a:latin typeface="Calibri" panose="020F050202020403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4000" b="1">
                <a:solidFill>
                  <a:schemeClr val="tx1">
                    <a:lumMod val="75000"/>
                  </a:schemeClr>
                </a:solidFill>
              </a:rPr>
              <a:t>Historical Tracking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6.920513006169135E-2"/>
          <c:y val="0.12145211041918451"/>
          <c:w val="0.92015729416801628"/>
          <c:h val="0.74719533840496799"/>
        </c:manualLayout>
      </c:layout>
      <c:areaChart>
        <c:grouping val="standard"/>
        <c:varyColors val="0"/>
        <c:ser>
          <c:idx val="0"/>
          <c:order val="0"/>
          <c:tx>
            <c:v>Tracking Error</c:v>
          </c:tx>
          <c:spPr>
            <a:solidFill>
              <a:schemeClr val="tx1">
                <a:lumMod val="75000"/>
              </a:schemeClr>
            </a:solidFill>
            <a:ln w="104775" cap="rnd" cmpd="sng">
              <a:solidFill>
                <a:srgbClr val="C00000"/>
              </a:solidFill>
              <a:prstDash val="sysDot"/>
              <a:round/>
            </a:ln>
            <a:effectLst/>
          </c:spPr>
          <c:cat>
            <c:numRef>
              <c:f>Historical!$J$2:$J$21</c:f>
              <c:numCache>
                <c:formatCode>m/d/yyyy</c:formatCode>
                <c:ptCount val="20"/>
                <c:pt idx="0">
                  <c:v>43138</c:v>
                </c:pt>
                <c:pt idx="1">
                  <c:v>43139</c:v>
                </c:pt>
                <c:pt idx="2">
                  <c:v>43140</c:v>
                </c:pt>
                <c:pt idx="3">
                  <c:v>43143</c:v>
                </c:pt>
                <c:pt idx="4">
                  <c:v>43144</c:v>
                </c:pt>
                <c:pt idx="5">
                  <c:v>43145</c:v>
                </c:pt>
                <c:pt idx="6">
                  <c:v>43146</c:v>
                </c:pt>
                <c:pt idx="7">
                  <c:v>43147</c:v>
                </c:pt>
                <c:pt idx="8">
                  <c:v>43150</c:v>
                </c:pt>
                <c:pt idx="9">
                  <c:v>43151</c:v>
                </c:pt>
                <c:pt idx="10">
                  <c:v>43152</c:v>
                </c:pt>
                <c:pt idx="11">
                  <c:v>43153</c:v>
                </c:pt>
                <c:pt idx="12">
                  <c:v>43154</c:v>
                </c:pt>
                <c:pt idx="13">
                  <c:v>43157</c:v>
                </c:pt>
                <c:pt idx="14">
                  <c:v>43158</c:v>
                </c:pt>
                <c:pt idx="15">
                  <c:v>43159</c:v>
                </c:pt>
                <c:pt idx="16">
                  <c:v>43160</c:v>
                </c:pt>
                <c:pt idx="17">
                  <c:v>43161</c:v>
                </c:pt>
                <c:pt idx="18">
                  <c:v>43164</c:v>
                </c:pt>
                <c:pt idx="19">
                  <c:v>43165</c:v>
                </c:pt>
              </c:numCache>
            </c:numRef>
          </c:cat>
          <c:val>
            <c:numRef>
              <c:f>Historical!$T$2:$T$21</c:f>
              <c:numCache>
                <c:formatCode>0.00%</c:formatCode>
                <c:ptCount val="20"/>
                <c:pt idx="0">
                  <c:v>2.4382441054210105E-3</c:v>
                </c:pt>
                <c:pt idx="1">
                  <c:v>2.3727797743488231E-3</c:v>
                </c:pt>
                <c:pt idx="2">
                  <c:v>2.442225894921022E-3</c:v>
                </c:pt>
                <c:pt idx="3">
                  <c:v>2.579024389058375E-3</c:v>
                </c:pt>
                <c:pt idx="4">
                  <c:v>2.4995795272327124E-3</c:v>
                </c:pt>
                <c:pt idx="5">
                  <c:v>2.6657991774023137E-3</c:v>
                </c:pt>
                <c:pt idx="6">
                  <c:v>2.6312334934370496E-3</c:v>
                </c:pt>
                <c:pt idx="7">
                  <c:v>2.5896292816851001E-3</c:v>
                </c:pt>
                <c:pt idx="8">
                  <c:v>2.576991859558001E-3</c:v>
                </c:pt>
                <c:pt idx="9">
                  <c:v>2.7986493798528495E-3</c:v>
                </c:pt>
                <c:pt idx="10">
                  <c:v>2.7115153734163875E-3</c:v>
                </c:pt>
                <c:pt idx="11">
                  <c:v>2.7035831367661655E-3</c:v>
                </c:pt>
                <c:pt idx="12">
                  <c:v>2.6423228419511142E-3</c:v>
                </c:pt>
                <c:pt idx="13">
                  <c:v>2.4950731892798752E-3</c:v>
                </c:pt>
                <c:pt idx="14">
                  <c:v>2.4289142820555307E-3</c:v>
                </c:pt>
                <c:pt idx="15">
                  <c:v>2.418385469039597E-3</c:v>
                </c:pt>
                <c:pt idx="16">
                  <c:v>2.2989532862304641E-3</c:v>
                </c:pt>
                <c:pt idx="17">
                  <c:v>2.3426002379928965E-3</c:v>
                </c:pt>
                <c:pt idx="18">
                  <c:v>2.3189929794565876E-3</c:v>
                </c:pt>
                <c:pt idx="19">
                  <c:v>2.3911674050983421E-3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C5-49AC-BC2C-B4FAAE530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186847"/>
        <c:axId val="1039983119"/>
      </c:areaChart>
      <c:dateAx>
        <c:axId val="893186847"/>
        <c:scaling>
          <c:orientation val="minMax"/>
        </c:scaling>
        <c:delete val="0"/>
        <c:axPos val="b"/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39983119"/>
        <c:crosses val="autoZero"/>
        <c:auto val="0"/>
        <c:lblOffset val="100"/>
        <c:baseTimeUnit val="days"/>
        <c:majorUnit val="2"/>
        <c:majorTimeUnit val="days"/>
      </c:dateAx>
      <c:valAx>
        <c:axId val="103998311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0" b="0" i="0" u="none" strike="noStrike" kern="1200" baseline="0">
                <a:solidFill>
                  <a:schemeClr val="tx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893186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4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14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14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7.xml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image" Target="../media/image1.png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77933</xdr:colOff>
      <xdr:row>0</xdr:row>
      <xdr:rowOff>138545</xdr:rowOff>
    </xdr:from>
    <xdr:to>
      <xdr:col>2</xdr:col>
      <xdr:colOff>1021773</xdr:colOff>
      <xdr:row>1</xdr:row>
      <xdr:rowOff>305232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5A9E01E-6CA9-4D27-8384-31E1F6FB9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09206" y="138545"/>
          <a:ext cx="1757794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1219200</xdr:colOff>
      <xdr:row>91</xdr:row>
      <xdr:rowOff>95250</xdr:rowOff>
    </xdr:from>
    <xdr:to>
      <xdr:col>28</xdr:col>
      <xdr:colOff>0</xdr:colOff>
      <xdr:row>125</xdr:row>
      <xdr:rowOff>152400</xdr:rowOff>
    </xdr:to>
    <xdr:graphicFrame macro="">
      <xdr:nvGraphicFramePr>
        <xdr:cNvPr id="7" name="5 Gráfico">
          <a:extLst>
            <a:ext uri="{FF2B5EF4-FFF2-40B4-BE49-F238E27FC236}">
              <a16:creationId xmlns:a16="http://schemas.microsoft.com/office/drawing/2014/main" id="{2F114C40-6804-4573-82D2-E63DE22B4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742950</xdr:colOff>
      <xdr:row>91</xdr:row>
      <xdr:rowOff>114300</xdr:rowOff>
    </xdr:from>
    <xdr:to>
      <xdr:col>14</xdr:col>
      <xdr:colOff>1447800</xdr:colOff>
      <xdr:row>125</xdr:row>
      <xdr:rowOff>114300</xdr:rowOff>
    </xdr:to>
    <xdr:graphicFrame macro="">
      <xdr:nvGraphicFramePr>
        <xdr:cNvPr id="9" name="5 Gráfico">
          <a:extLst>
            <a:ext uri="{FF2B5EF4-FFF2-40B4-BE49-F238E27FC236}">
              <a16:creationId xmlns:a16="http://schemas.microsoft.com/office/drawing/2014/main" id="{B77AA0EF-31E3-42BA-9682-04D0C521E0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1390650</xdr:colOff>
      <xdr:row>11</xdr:row>
      <xdr:rowOff>190500</xdr:rowOff>
    </xdr:from>
    <xdr:to>
      <xdr:col>39</xdr:col>
      <xdr:colOff>476250</xdr:colOff>
      <xdr:row>46</xdr:row>
      <xdr:rowOff>38100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A9F920C3-C178-431A-BF7A-F2F3BEE64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116032</xdr:colOff>
      <xdr:row>1</xdr:row>
      <xdr:rowOff>100444</xdr:rowOff>
    </xdr:from>
    <xdr:to>
      <xdr:col>4</xdr:col>
      <xdr:colOff>837889</xdr:colOff>
      <xdr:row>2</xdr:row>
      <xdr:rowOff>990600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3E324B5-86C0-4A15-AB72-F5B1A422A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716232" y="443344"/>
          <a:ext cx="5674857" cy="12330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107</xdr:row>
      <xdr:rowOff>304800</xdr:rowOff>
    </xdr:from>
    <xdr:to>
      <xdr:col>23</xdr:col>
      <xdr:colOff>1524000</xdr:colOff>
      <xdr:row>131</xdr:row>
      <xdr:rowOff>266700</xdr:rowOff>
    </xdr:to>
    <xdr:graphicFrame macro="">
      <xdr:nvGraphicFramePr>
        <xdr:cNvPr id="10" name="5 Gráfico">
          <a:extLst>
            <a:ext uri="{FF2B5EF4-FFF2-40B4-BE49-F238E27FC236}">
              <a16:creationId xmlns:a16="http://schemas.microsoft.com/office/drawing/2014/main" id="{7AF685EA-7FB0-4AA9-B728-89B9BF4359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381000</xdr:colOff>
      <xdr:row>100</xdr:row>
      <xdr:rowOff>57150</xdr:rowOff>
    </xdr:from>
    <xdr:to>
      <xdr:col>35</xdr:col>
      <xdr:colOff>0</xdr:colOff>
      <xdr:row>131</xdr:row>
      <xdr:rowOff>304800</xdr:rowOff>
    </xdr:to>
    <xdr:graphicFrame macro="">
      <xdr:nvGraphicFramePr>
        <xdr:cNvPr id="12" name="5 Gráfico">
          <a:extLst>
            <a:ext uri="{FF2B5EF4-FFF2-40B4-BE49-F238E27FC236}">
              <a16:creationId xmlns:a16="http://schemas.microsoft.com/office/drawing/2014/main" id="{F993A6A1-F64E-49FD-BBD7-3BEAF43876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228600</xdr:colOff>
      <xdr:row>107</xdr:row>
      <xdr:rowOff>247650</xdr:rowOff>
    </xdr:from>
    <xdr:to>
      <xdr:col>11</xdr:col>
      <xdr:colOff>3133725</xdr:colOff>
      <xdr:row>131</xdr:row>
      <xdr:rowOff>228600</xdr:rowOff>
    </xdr:to>
    <xdr:graphicFrame macro="">
      <xdr:nvGraphicFramePr>
        <xdr:cNvPr id="9" name="5 Gráfico">
          <a:extLst>
            <a:ext uri="{FF2B5EF4-FFF2-40B4-BE49-F238E27FC236}">
              <a16:creationId xmlns:a16="http://schemas.microsoft.com/office/drawing/2014/main" id="{CA2B1F86-40C8-4CCF-9E0A-F98DC2E4C1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116033</xdr:colOff>
      <xdr:row>0</xdr:row>
      <xdr:rowOff>329044</xdr:rowOff>
    </xdr:from>
    <xdr:to>
      <xdr:col>3</xdr:col>
      <xdr:colOff>1736267</xdr:colOff>
      <xdr:row>2</xdr:row>
      <xdr:rowOff>533399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1EC504F-4241-49EC-A56D-92656C896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97183" y="329044"/>
          <a:ext cx="4096734" cy="890155"/>
        </a:xfrm>
        <a:prstGeom prst="rect">
          <a:avLst/>
        </a:prstGeom>
      </xdr:spPr>
    </xdr:pic>
    <xdr:clientData/>
  </xdr:twoCellAnchor>
  <xdr:twoCellAnchor>
    <xdr:from>
      <xdr:col>18</xdr:col>
      <xdr:colOff>685800</xdr:colOff>
      <xdr:row>8</xdr:row>
      <xdr:rowOff>0</xdr:rowOff>
    </xdr:from>
    <xdr:to>
      <xdr:col>34</xdr:col>
      <xdr:colOff>1714500</xdr:colOff>
      <xdr:row>44</xdr:row>
      <xdr:rowOff>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82C19162-C561-443B-89A6-7EB911878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1638300</xdr:colOff>
      <xdr:row>103</xdr:row>
      <xdr:rowOff>266700</xdr:rowOff>
    </xdr:from>
    <xdr:to>
      <xdr:col>21</xdr:col>
      <xdr:colOff>1619250</xdr:colOff>
      <xdr:row>128</xdr:row>
      <xdr:rowOff>228600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15E3FBBE-9D4E-492F-9746-3B8808381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2000251</xdr:colOff>
      <xdr:row>103</xdr:row>
      <xdr:rowOff>304800</xdr:rowOff>
    </xdr:from>
    <xdr:to>
      <xdr:col>34</xdr:col>
      <xdr:colOff>0</xdr:colOff>
      <xdr:row>128</xdr:row>
      <xdr:rowOff>304800</xdr:rowOff>
    </xdr:to>
    <xdr:graphicFrame macro="">
      <xdr:nvGraphicFramePr>
        <xdr:cNvPr id="7" name="5 Gráfico">
          <a:extLst>
            <a:ext uri="{FF2B5EF4-FFF2-40B4-BE49-F238E27FC236}">
              <a16:creationId xmlns:a16="http://schemas.microsoft.com/office/drawing/2014/main" id="{9A905E52-C22E-4763-A1BA-41EC3D769E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103</xdr:row>
      <xdr:rowOff>247650</xdr:rowOff>
    </xdr:from>
    <xdr:to>
      <xdr:col>11</xdr:col>
      <xdr:colOff>1238250</xdr:colOff>
      <xdr:row>128</xdr:row>
      <xdr:rowOff>228600</xdr:rowOff>
    </xdr:to>
    <xdr:graphicFrame macro="">
      <xdr:nvGraphicFramePr>
        <xdr:cNvPr id="8" name="5 Gráfico">
          <a:extLst>
            <a:ext uri="{FF2B5EF4-FFF2-40B4-BE49-F238E27FC236}">
              <a16:creationId xmlns:a16="http://schemas.microsoft.com/office/drawing/2014/main" id="{1832372D-E9BC-4EA8-AD72-0D20B36003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971550</xdr:colOff>
      <xdr:row>12</xdr:row>
      <xdr:rowOff>304800</xdr:rowOff>
    </xdr:from>
    <xdr:to>
      <xdr:col>34</xdr:col>
      <xdr:colOff>0</xdr:colOff>
      <xdr:row>40</xdr:row>
      <xdr:rowOff>685800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D41C3BA7-FCA2-4B0D-9EC6-510034ED5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685800</xdr:colOff>
      <xdr:row>83</xdr:row>
      <xdr:rowOff>114300</xdr:rowOff>
    </xdr:from>
    <xdr:to>
      <xdr:col>33</xdr:col>
      <xdr:colOff>1447800</xdr:colOff>
      <xdr:row>103</xdr:row>
      <xdr:rowOff>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867368A-4570-4BCC-9868-4B56E0603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</xdr:col>
      <xdr:colOff>116033</xdr:colOff>
      <xdr:row>0</xdr:row>
      <xdr:rowOff>329044</xdr:rowOff>
    </xdr:from>
    <xdr:to>
      <xdr:col>3</xdr:col>
      <xdr:colOff>1736267</xdr:colOff>
      <xdr:row>2</xdr:row>
      <xdr:rowOff>533399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FAD9744D-185D-4D12-BAD8-FE43F5757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97183" y="329044"/>
          <a:ext cx="4096734" cy="8901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45</xdr:row>
      <xdr:rowOff>762000</xdr:rowOff>
    </xdr:from>
    <xdr:to>
      <xdr:col>31</xdr:col>
      <xdr:colOff>1143000</xdr:colOff>
      <xdr:row>102</xdr:row>
      <xdr:rowOff>342900</xdr:rowOff>
    </xdr:to>
    <xdr:graphicFrame macro="">
      <xdr:nvGraphicFramePr>
        <xdr:cNvPr id="8" name="5 Gráfico">
          <a:extLst>
            <a:ext uri="{FF2B5EF4-FFF2-40B4-BE49-F238E27FC236}">
              <a16:creationId xmlns:a16="http://schemas.microsoft.com/office/drawing/2014/main" id="{28A28E1B-20E5-49B7-8A98-D0C54D17F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116032</xdr:colOff>
      <xdr:row>0</xdr:row>
      <xdr:rowOff>329044</xdr:rowOff>
    </xdr:from>
    <xdr:to>
      <xdr:col>3</xdr:col>
      <xdr:colOff>1177339</xdr:colOff>
      <xdr:row>2</xdr:row>
      <xdr:rowOff>1143000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1C40C7E-2A2B-4195-81CC-92EC2C7F0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735282" y="329044"/>
          <a:ext cx="6681057" cy="15759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35</xdr:row>
      <xdr:rowOff>0</xdr:rowOff>
    </xdr:from>
    <xdr:to>
      <xdr:col>8</xdr:col>
      <xdr:colOff>800100</xdr:colOff>
      <xdr:row>57</xdr:row>
      <xdr:rowOff>304800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7F93D744-A57B-422B-9AF3-51BA32525D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114300</xdr:colOff>
      <xdr:row>60</xdr:row>
      <xdr:rowOff>152400</xdr:rowOff>
    </xdr:from>
    <xdr:to>
      <xdr:col>15</xdr:col>
      <xdr:colOff>2019300</xdr:colOff>
      <xdr:row>108</xdr:row>
      <xdr:rowOff>38099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8B6BF0-FD1A-436C-BCFC-77969A4A3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344633</xdr:colOff>
      <xdr:row>1</xdr:row>
      <xdr:rowOff>152401</xdr:rowOff>
    </xdr:from>
    <xdr:to>
      <xdr:col>2</xdr:col>
      <xdr:colOff>1811625</xdr:colOff>
      <xdr:row>2</xdr:row>
      <xdr:rowOff>724007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F646494-CA9D-4C86-8609-9C67E996D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82833" y="342901"/>
          <a:ext cx="2876692" cy="762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-0.249977111117893"/>
  </sheetPr>
  <dimension ref="A1:AQ2194"/>
  <sheetViews>
    <sheetView topLeftCell="O76" zoomScale="85" zoomScaleNormal="85" workbookViewId="0">
      <selection activeCell="T91" sqref="T91:T92"/>
    </sheetView>
  </sheetViews>
  <sheetFormatPr baseColWidth="10" defaultRowHeight="14.25" x14ac:dyDescent="0.2"/>
  <cols>
    <col min="1" max="1" width="11" customWidth="1"/>
    <col min="2" max="2" width="23.375" customWidth="1"/>
    <col min="3" max="3" width="16.75" customWidth="1"/>
    <col min="4" max="4" width="25.25" customWidth="1"/>
    <col min="5" max="5" width="22.75" customWidth="1"/>
    <col min="6" max="6" width="21.875" customWidth="1"/>
    <col min="7" max="7" width="23.375" customWidth="1"/>
    <col min="10" max="10" width="15.875" customWidth="1"/>
    <col min="12" max="12" width="14.25" customWidth="1"/>
    <col min="18" max="18" width="29" customWidth="1"/>
    <col min="19" max="19" width="17.625" customWidth="1"/>
    <col min="20" max="20" width="20.875" customWidth="1"/>
    <col min="23" max="23" width="21.5" customWidth="1"/>
    <col min="24" max="24" width="39.25" customWidth="1"/>
    <col min="26" max="26" width="27.625" customWidth="1"/>
    <col min="31" max="31" width="27.5" customWidth="1"/>
    <col min="32" max="32" width="17.625" customWidth="1"/>
    <col min="33" max="33" width="11.875" customWidth="1"/>
    <col min="34" max="35" width="29.375" customWidth="1"/>
    <col min="36" max="36" width="16.875" customWidth="1"/>
    <col min="37" max="37" width="14" customWidth="1"/>
    <col min="40" max="40" width="22" customWidth="1"/>
    <col min="41" max="41" width="24.625" customWidth="1"/>
  </cols>
  <sheetData>
    <row r="1" spans="1:43" x14ac:dyDescent="0.2">
      <c r="B1" t="s">
        <v>204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105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156</v>
      </c>
      <c r="X1" t="s">
        <v>19</v>
      </c>
      <c r="Y1" t="s">
        <v>20</v>
      </c>
      <c r="Z1" t="s">
        <v>151</v>
      </c>
      <c r="AA1" t="s">
        <v>21</v>
      </c>
      <c r="AB1" t="s">
        <v>22</v>
      </c>
      <c r="AC1" t="s">
        <v>23</v>
      </c>
      <c r="AD1" t="s">
        <v>24</v>
      </c>
      <c r="AE1" t="s">
        <v>102</v>
      </c>
      <c r="AF1" t="s">
        <v>25</v>
      </c>
      <c r="AG1" t="s">
        <v>26</v>
      </c>
      <c r="AH1" t="s">
        <v>64</v>
      </c>
      <c r="AI1" t="s">
        <v>65</v>
      </c>
      <c r="AJ1" t="s">
        <v>27</v>
      </c>
      <c r="AK1" t="s">
        <v>28</v>
      </c>
      <c r="AL1" t="s">
        <v>101</v>
      </c>
      <c r="AM1" t="s">
        <v>103</v>
      </c>
      <c r="AN1" t="s">
        <v>148</v>
      </c>
      <c r="AO1" t="s">
        <v>149</v>
      </c>
      <c r="AP1" t="s">
        <v>152</v>
      </c>
      <c r="AQ1" t="s">
        <v>160</v>
      </c>
    </row>
    <row r="2" spans="1:43" x14ac:dyDescent="0.2">
      <c r="A2">
        <v>0</v>
      </c>
      <c r="B2">
        <v>99</v>
      </c>
      <c r="C2">
        <v>6</v>
      </c>
      <c r="D2">
        <v>20000</v>
      </c>
      <c r="E2" t="s">
        <v>460</v>
      </c>
      <c r="F2" t="s">
        <v>29</v>
      </c>
      <c r="G2" t="s">
        <v>461</v>
      </c>
      <c r="H2">
        <v>3.8304104282225464E-2</v>
      </c>
      <c r="I2">
        <v>-2.0353246829899591E-5</v>
      </c>
      <c r="J2">
        <v>4.5599999999999996</v>
      </c>
      <c r="L2" s="1">
        <v>46371</v>
      </c>
      <c r="M2" s="1">
        <v>43165</v>
      </c>
      <c r="N2" s="1"/>
      <c r="R2">
        <v>-2.4229989783995497E-3</v>
      </c>
      <c r="T2" t="s">
        <v>32</v>
      </c>
      <c r="V2">
        <v>523707750</v>
      </c>
      <c r="W2" t="s">
        <v>462</v>
      </c>
      <c r="X2" t="s">
        <v>463</v>
      </c>
      <c r="Y2">
        <v>20000</v>
      </c>
      <c r="Z2" t="s">
        <v>31</v>
      </c>
      <c r="AA2">
        <v>-1.4869494537699007E-2</v>
      </c>
      <c r="AB2">
        <v>115.71</v>
      </c>
      <c r="AC2" t="s">
        <v>33</v>
      </c>
      <c r="AE2" t="s">
        <v>464</v>
      </c>
      <c r="AF2">
        <v>8.4014849139223288E-2</v>
      </c>
      <c r="AH2" t="s">
        <v>244</v>
      </c>
      <c r="AJ2">
        <v>8.400022868909094E-3</v>
      </c>
      <c r="AK2">
        <v>8.400022868909094E-3</v>
      </c>
      <c r="AL2">
        <v>0</v>
      </c>
      <c r="AN2" t="s">
        <v>144</v>
      </c>
      <c r="AQ2">
        <v>7.0572665409742309E-4</v>
      </c>
    </row>
    <row r="3" spans="1:43" x14ac:dyDescent="0.2">
      <c r="A3">
        <v>1</v>
      </c>
      <c r="B3">
        <v>102</v>
      </c>
      <c r="C3">
        <v>6</v>
      </c>
      <c r="D3">
        <v>34500</v>
      </c>
      <c r="E3" t="s">
        <v>465</v>
      </c>
      <c r="F3" t="s">
        <v>29</v>
      </c>
      <c r="G3" t="s">
        <v>466</v>
      </c>
      <c r="H3">
        <v>0.12905854352221763</v>
      </c>
      <c r="I3">
        <v>-3.003296645687734E-5</v>
      </c>
      <c r="J3">
        <v>7.91</v>
      </c>
      <c r="L3" s="1">
        <v>48458</v>
      </c>
      <c r="M3" s="1">
        <v>43165</v>
      </c>
      <c r="R3">
        <v>-1.8407209487297778E-3</v>
      </c>
      <c r="T3" t="s">
        <v>32</v>
      </c>
      <c r="V3">
        <v>1017229177</v>
      </c>
      <c r="W3" t="s">
        <v>467</v>
      </c>
      <c r="X3" t="s">
        <v>468</v>
      </c>
      <c r="Y3">
        <v>34500</v>
      </c>
      <c r="Z3" t="s">
        <v>31</v>
      </c>
      <c r="AA3">
        <v>-2.194121824461941E-2</v>
      </c>
      <c r="AB3">
        <v>109.33</v>
      </c>
      <c r="AC3" t="s">
        <v>34</v>
      </c>
      <c r="AE3" t="s">
        <v>35</v>
      </c>
      <c r="AF3">
        <v>9.1214849139223286E-2</v>
      </c>
      <c r="AH3" t="s">
        <v>244</v>
      </c>
      <c r="AJ3">
        <v>1.6315871494591357E-2</v>
      </c>
      <c r="AK3">
        <v>1.6315871494591357E-2</v>
      </c>
      <c r="AL3">
        <v>0</v>
      </c>
      <c r="AN3" t="s">
        <v>50</v>
      </c>
      <c r="AQ3">
        <v>1.4882497569541041E-3</v>
      </c>
    </row>
    <row r="4" spans="1:43" x14ac:dyDescent="0.2">
      <c r="A4">
        <v>2</v>
      </c>
      <c r="B4">
        <v>93</v>
      </c>
      <c r="C4">
        <v>6</v>
      </c>
      <c r="F4" t="s">
        <v>29</v>
      </c>
      <c r="G4" t="s">
        <v>469</v>
      </c>
      <c r="I4">
        <v>1.8630457987290818E-6</v>
      </c>
      <c r="J4">
        <v>0.73286712786140995</v>
      </c>
      <c r="K4">
        <v>0.73286712786140995</v>
      </c>
      <c r="L4" s="1"/>
      <c r="M4" s="1"/>
      <c r="N4" s="1">
        <v>43164</v>
      </c>
      <c r="R4">
        <v>-2.1922679503766566E-3</v>
      </c>
      <c r="S4">
        <v>-2.1922679503766566E-3</v>
      </c>
      <c r="T4" t="s">
        <v>32</v>
      </c>
      <c r="U4" t="s">
        <v>32</v>
      </c>
      <c r="W4" t="s">
        <v>253</v>
      </c>
      <c r="Z4" t="s">
        <v>31</v>
      </c>
      <c r="AA4">
        <v>1.3610874746032759E-3</v>
      </c>
      <c r="AC4" t="s">
        <v>36</v>
      </c>
      <c r="AD4" t="s">
        <v>36</v>
      </c>
      <c r="AE4" t="s">
        <v>169</v>
      </c>
      <c r="AF4">
        <v>1.02</v>
      </c>
      <c r="AG4">
        <v>1.02</v>
      </c>
      <c r="AH4" t="s">
        <v>244</v>
      </c>
      <c r="AI4" t="s">
        <v>244</v>
      </c>
      <c r="AJ4">
        <v>-8.4982576988774992E-4</v>
      </c>
      <c r="AK4">
        <v>0</v>
      </c>
      <c r="AL4">
        <v>8.4982576988774992E-4</v>
      </c>
      <c r="AM4" t="s">
        <v>169</v>
      </c>
      <c r="AN4" t="s">
        <v>36</v>
      </c>
      <c r="AO4" t="s">
        <v>36</v>
      </c>
      <c r="AP4" t="s">
        <v>31</v>
      </c>
    </row>
    <row r="5" spans="1:43" x14ac:dyDescent="0.2">
      <c r="A5">
        <v>3</v>
      </c>
      <c r="B5">
        <v>93</v>
      </c>
      <c r="C5">
        <v>6</v>
      </c>
      <c r="D5">
        <v>8000</v>
      </c>
      <c r="E5" t="s">
        <v>322</v>
      </c>
      <c r="F5" t="s">
        <v>29</v>
      </c>
      <c r="G5" t="s">
        <v>323</v>
      </c>
      <c r="H5">
        <v>6.6107084406667879E-4</v>
      </c>
      <c r="I5">
        <v>-1.9715459857263752E-6</v>
      </c>
      <c r="J5">
        <v>0.56000000000000005</v>
      </c>
      <c r="K5">
        <v>0.56669734682925998</v>
      </c>
      <c r="L5" s="1">
        <v>43556</v>
      </c>
      <c r="M5" s="1">
        <v>43165</v>
      </c>
      <c r="N5" s="1">
        <v>43164</v>
      </c>
      <c r="R5">
        <v>-2.1922679503766566E-3</v>
      </c>
      <c r="S5">
        <v>-2.1922679503766566E-3</v>
      </c>
      <c r="T5" t="s">
        <v>32</v>
      </c>
      <c r="U5" t="s">
        <v>32</v>
      </c>
      <c r="V5">
        <v>73598423</v>
      </c>
      <c r="W5" t="s">
        <v>253</v>
      </c>
      <c r="X5" t="s">
        <v>324</v>
      </c>
      <c r="Y5">
        <v>8000</v>
      </c>
      <c r="Z5" t="s">
        <v>31</v>
      </c>
      <c r="AA5">
        <v>-1.4403545788338166E-3</v>
      </c>
      <c r="AB5">
        <v>100.99</v>
      </c>
      <c r="AC5" t="s">
        <v>36</v>
      </c>
      <c r="AD5" t="s">
        <v>36</v>
      </c>
      <c r="AE5" t="s">
        <v>169</v>
      </c>
      <c r="AF5">
        <v>8.0114849139223288E-2</v>
      </c>
      <c r="AG5">
        <v>1.48</v>
      </c>
      <c r="AH5" t="s">
        <v>244</v>
      </c>
      <c r="AI5" t="s">
        <v>244</v>
      </c>
      <c r="AJ5">
        <v>8.9931798044469923E-4</v>
      </c>
      <c r="AK5">
        <v>1.1804836501190692E-3</v>
      </c>
      <c r="AL5">
        <v>2.8116566967436999E-4</v>
      </c>
      <c r="AM5" t="s">
        <v>169</v>
      </c>
      <c r="AN5" t="s">
        <v>146</v>
      </c>
      <c r="AO5" t="s">
        <v>36</v>
      </c>
      <c r="AP5" t="s">
        <v>31</v>
      </c>
      <c r="AQ5">
        <v>9.4574269540608874E-5</v>
      </c>
    </row>
    <row r="6" spans="1:43" x14ac:dyDescent="0.2">
      <c r="A6">
        <v>4</v>
      </c>
      <c r="B6">
        <v>99</v>
      </c>
      <c r="C6">
        <v>6</v>
      </c>
      <c r="F6" t="s">
        <v>29</v>
      </c>
      <c r="G6" t="s">
        <v>470</v>
      </c>
      <c r="I6">
        <v>2.0478105291038764E-6</v>
      </c>
      <c r="J6">
        <v>3.0084440996978001</v>
      </c>
      <c r="K6">
        <v>3.0084440996978001</v>
      </c>
      <c r="L6" s="1"/>
      <c r="M6" s="1"/>
      <c r="N6" s="1">
        <v>43164</v>
      </c>
      <c r="R6">
        <v>-2.4229989783995497E-3</v>
      </c>
      <c r="S6">
        <v>-2.4229989783995497E-3</v>
      </c>
      <c r="T6" t="s">
        <v>32</v>
      </c>
      <c r="U6" t="s">
        <v>32</v>
      </c>
      <c r="W6" t="s">
        <v>253</v>
      </c>
      <c r="Z6" t="s">
        <v>31</v>
      </c>
      <c r="AA6">
        <v>1.4960712524755846E-3</v>
      </c>
      <c r="AC6" t="s">
        <v>36</v>
      </c>
      <c r="AD6" t="s">
        <v>36</v>
      </c>
      <c r="AE6" t="s">
        <v>169</v>
      </c>
      <c r="AF6">
        <v>1.62</v>
      </c>
      <c r="AG6">
        <v>1.62</v>
      </c>
      <c r="AH6" t="s">
        <v>244</v>
      </c>
      <c r="AI6" t="s">
        <v>244</v>
      </c>
      <c r="AJ6">
        <v>-8.4515534152495003E-4</v>
      </c>
      <c r="AK6">
        <v>0</v>
      </c>
      <c r="AL6">
        <v>8.4515534152495003E-4</v>
      </c>
      <c r="AM6" t="s">
        <v>169</v>
      </c>
      <c r="AN6" t="s">
        <v>36</v>
      </c>
      <c r="AO6" t="s">
        <v>36</v>
      </c>
      <c r="AP6" t="s">
        <v>31</v>
      </c>
    </row>
    <row r="7" spans="1:43" x14ac:dyDescent="0.2">
      <c r="A7">
        <v>5</v>
      </c>
      <c r="B7">
        <v>96</v>
      </c>
      <c r="C7">
        <v>6</v>
      </c>
      <c r="F7" t="s">
        <v>29</v>
      </c>
      <c r="G7" t="s">
        <v>385</v>
      </c>
      <c r="I7">
        <v>1.2923198487384854E-6</v>
      </c>
      <c r="J7">
        <v>1.4283816195604999</v>
      </c>
      <c r="K7">
        <v>1.4283816195604999</v>
      </c>
      <c r="L7" s="1"/>
      <c r="M7" s="1"/>
      <c r="N7" s="1">
        <v>43164</v>
      </c>
      <c r="R7">
        <v>-2.4313878536657216E-3</v>
      </c>
      <c r="S7">
        <v>-2.4313878536657216E-3</v>
      </c>
      <c r="T7" t="s">
        <v>32</v>
      </c>
      <c r="U7" t="s">
        <v>32</v>
      </c>
      <c r="W7" t="s">
        <v>254</v>
      </c>
      <c r="Z7" t="s">
        <v>31</v>
      </c>
      <c r="AA7">
        <v>9.4413157234195027E-4</v>
      </c>
      <c r="AC7" t="s">
        <v>33</v>
      </c>
      <c r="AD7" t="s">
        <v>33</v>
      </c>
      <c r="AE7" t="s">
        <v>44</v>
      </c>
      <c r="AF7">
        <v>1.33</v>
      </c>
      <c r="AG7">
        <v>1.33</v>
      </c>
      <c r="AH7" t="s">
        <v>244</v>
      </c>
      <c r="AI7" t="s">
        <v>244</v>
      </c>
      <c r="AJ7">
        <v>-5.3151530176072002E-4</v>
      </c>
      <c r="AK7">
        <v>0</v>
      </c>
      <c r="AL7">
        <v>5.3151530176072002E-4</v>
      </c>
      <c r="AM7" t="s">
        <v>44</v>
      </c>
      <c r="AN7" t="s">
        <v>33</v>
      </c>
      <c r="AO7" t="s">
        <v>33</v>
      </c>
      <c r="AP7" t="s">
        <v>31</v>
      </c>
    </row>
    <row r="8" spans="1:43" x14ac:dyDescent="0.2">
      <c r="A8">
        <v>6</v>
      </c>
      <c r="B8">
        <v>98</v>
      </c>
      <c r="C8">
        <v>6</v>
      </c>
      <c r="F8" t="s">
        <v>29</v>
      </c>
      <c r="G8" t="s">
        <v>471</v>
      </c>
      <c r="I8">
        <v>2.6241734511670658E-5</v>
      </c>
      <c r="J8">
        <v>3.6915128046725001</v>
      </c>
      <c r="K8">
        <v>3.6915128046725001</v>
      </c>
      <c r="L8" s="1"/>
      <c r="M8" s="1"/>
      <c r="N8" s="1">
        <v>43164</v>
      </c>
      <c r="R8">
        <v>-4.4913223753632802E-3</v>
      </c>
      <c r="S8">
        <v>-4.4913223753632802E-3</v>
      </c>
      <c r="T8" t="s">
        <v>32</v>
      </c>
      <c r="U8" t="s">
        <v>32</v>
      </c>
      <c r="W8" t="s">
        <v>472</v>
      </c>
      <c r="Z8" t="s">
        <v>31</v>
      </c>
      <c r="AA8">
        <v>1.9171453637943196E-2</v>
      </c>
      <c r="AC8" t="s">
        <v>42</v>
      </c>
      <c r="AD8" t="s">
        <v>42</v>
      </c>
      <c r="AE8" t="s">
        <v>464</v>
      </c>
      <c r="AF8">
        <v>2.08</v>
      </c>
      <c r="AG8">
        <v>2.08</v>
      </c>
      <c r="AH8" t="s">
        <v>244</v>
      </c>
      <c r="AI8" t="s">
        <v>244</v>
      </c>
      <c r="AJ8">
        <v>-5.8427635156223E-3</v>
      </c>
      <c r="AK8">
        <v>0</v>
      </c>
      <c r="AL8">
        <v>5.8427635156223E-3</v>
      </c>
      <c r="AM8" t="s">
        <v>464</v>
      </c>
      <c r="AN8" t="s">
        <v>42</v>
      </c>
      <c r="AO8" t="s">
        <v>42</v>
      </c>
      <c r="AP8" t="s">
        <v>31</v>
      </c>
    </row>
    <row r="9" spans="1:43" x14ac:dyDescent="0.2">
      <c r="A9">
        <v>7</v>
      </c>
      <c r="B9">
        <v>99</v>
      </c>
      <c r="C9">
        <v>6</v>
      </c>
      <c r="D9">
        <v>22000</v>
      </c>
      <c r="E9" t="s">
        <v>473</v>
      </c>
      <c r="F9" t="s">
        <v>29</v>
      </c>
      <c r="G9" t="s">
        <v>474</v>
      </c>
      <c r="H9">
        <v>4.6466084588217618E-2</v>
      </c>
      <c r="I9">
        <v>-1.5743782591667951E-5</v>
      </c>
      <c r="J9">
        <v>4.58</v>
      </c>
      <c r="K9">
        <v>4.5858635206242999</v>
      </c>
      <c r="L9" s="1">
        <v>46833</v>
      </c>
      <c r="M9" s="1">
        <v>43165</v>
      </c>
      <c r="N9" s="1">
        <v>43164</v>
      </c>
      <c r="R9">
        <v>-2.4229989783995497E-3</v>
      </c>
      <c r="S9">
        <v>-2.4229989783995497E-3</v>
      </c>
      <c r="T9" t="s">
        <v>32</v>
      </c>
      <c r="U9" t="s">
        <v>32</v>
      </c>
      <c r="V9">
        <v>632527094</v>
      </c>
      <c r="W9" t="s">
        <v>475</v>
      </c>
      <c r="X9" t="s">
        <v>476</v>
      </c>
      <c r="Y9">
        <v>22000</v>
      </c>
      <c r="Z9" t="s">
        <v>31</v>
      </c>
      <c r="AA9">
        <v>-1.150195304002424E-2</v>
      </c>
      <c r="AB9">
        <v>109.77</v>
      </c>
      <c r="AC9" t="s">
        <v>36</v>
      </c>
      <c r="AD9" t="s">
        <v>33</v>
      </c>
      <c r="AE9" t="s">
        <v>85</v>
      </c>
      <c r="AF9">
        <v>8.3614849139223291E-2</v>
      </c>
      <c r="AG9">
        <v>1.84</v>
      </c>
      <c r="AH9" t="s">
        <v>244</v>
      </c>
      <c r="AI9" t="s">
        <v>244</v>
      </c>
      <c r="AJ9">
        <v>6.4976430993244193E-3</v>
      </c>
      <c r="AK9">
        <v>1.0145433316204719E-2</v>
      </c>
      <c r="AL9">
        <v>3.6477902168802999E-3</v>
      </c>
      <c r="AM9" t="s">
        <v>85</v>
      </c>
      <c r="AN9" t="s">
        <v>146</v>
      </c>
      <c r="AO9" t="s">
        <v>33</v>
      </c>
      <c r="AP9" t="s">
        <v>31</v>
      </c>
      <c r="AQ9">
        <v>8.4830887618650745E-4</v>
      </c>
    </row>
    <row r="10" spans="1:43" x14ac:dyDescent="0.2">
      <c r="A10">
        <v>8</v>
      </c>
      <c r="B10">
        <v>99</v>
      </c>
      <c r="C10">
        <v>6</v>
      </c>
      <c r="D10">
        <v>20000</v>
      </c>
      <c r="E10" t="s">
        <v>477</v>
      </c>
      <c r="F10" t="s">
        <v>29</v>
      </c>
      <c r="G10" t="s">
        <v>478</v>
      </c>
      <c r="H10">
        <v>4.3522778408438503E-2</v>
      </c>
      <c r="I10">
        <v>-1.6977853447384016E-5</v>
      </c>
      <c r="J10">
        <v>4.7300000000000004</v>
      </c>
      <c r="K10">
        <v>4.7374340579896002</v>
      </c>
      <c r="L10" s="1">
        <v>46888</v>
      </c>
      <c r="M10" s="1">
        <v>43165</v>
      </c>
      <c r="N10" s="1">
        <v>43164</v>
      </c>
      <c r="R10">
        <v>-2.4229989783995497E-3</v>
      </c>
      <c r="S10">
        <v>-2.4229989783995497E-3</v>
      </c>
      <c r="T10" t="s">
        <v>32</v>
      </c>
      <c r="U10" t="s">
        <v>32</v>
      </c>
      <c r="V10">
        <v>573672463</v>
      </c>
      <c r="W10" t="s">
        <v>475</v>
      </c>
      <c r="X10" t="s">
        <v>479</v>
      </c>
      <c r="Y10">
        <v>20000</v>
      </c>
      <c r="Z10" t="s">
        <v>31</v>
      </c>
      <c r="AA10">
        <v>-1.2403529579706684E-2</v>
      </c>
      <c r="AB10">
        <v>110.17</v>
      </c>
      <c r="AC10" t="s">
        <v>34</v>
      </c>
      <c r="AD10" t="s">
        <v>34</v>
      </c>
      <c r="AE10" t="s">
        <v>169</v>
      </c>
      <c r="AF10">
        <v>8.3514849139223288E-2</v>
      </c>
      <c r="AG10">
        <v>1.83</v>
      </c>
      <c r="AH10" t="s">
        <v>244</v>
      </c>
      <c r="AI10" t="s">
        <v>244</v>
      </c>
      <c r="AJ10">
        <v>7.0069585661147512E-3</v>
      </c>
      <c r="AK10">
        <v>9.2014330673231507E-3</v>
      </c>
      <c r="AL10">
        <v>2.1944745012083999E-3</v>
      </c>
      <c r="AM10" t="s">
        <v>169</v>
      </c>
      <c r="AN10" t="s">
        <v>50</v>
      </c>
      <c r="AO10" t="s">
        <v>34</v>
      </c>
      <c r="AP10" t="s">
        <v>31</v>
      </c>
      <c r="AQ10">
        <v>7.6845629448215355E-4</v>
      </c>
    </row>
    <row r="11" spans="1:43" x14ac:dyDescent="0.2">
      <c r="A11">
        <v>9</v>
      </c>
      <c r="B11">
        <v>102</v>
      </c>
      <c r="C11">
        <v>6</v>
      </c>
      <c r="D11">
        <v>17500</v>
      </c>
      <c r="E11" t="s">
        <v>367</v>
      </c>
      <c r="F11" t="s">
        <v>29</v>
      </c>
      <c r="G11" t="s">
        <v>480</v>
      </c>
      <c r="H11">
        <v>4.879207292018866E-2</v>
      </c>
      <c r="I11">
        <v>-3.7737666876098135E-6</v>
      </c>
      <c r="J11">
        <v>5.66</v>
      </c>
      <c r="K11">
        <v>5.6626869761242</v>
      </c>
      <c r="L11" s="1">
        <v>47421</v>
      </c>
      <c r="M11" s="1">
        <v>43165</v>
      </c>
      <c r="N11" s="1">
        <v>43164</v>
      </c>
      <c r="R11">
        <v>-1.8407209487297778E-3</v>
      </c>
      <c r="S11">
        <v>-1.8407209487297778E-3</v>
      </c>
      <c r="T11" t="s">
        <v>32</v>
      </c>
      <c r="U11" t="s">
        <v>32</v>
      </c>
      <c r="V11">
        <v>537454088</v>
      </c>
      <c r="W11" t="s">
        <v>369</v>
      </c>
      <c r="X11" t="s">
        <v>370</v>
      </c>
      <c r="Y11">
        <v>17500</v>
      </c>
      <c r="Z11" t="s">
        <v>31</v>
      </c>
      <c r="AA11">
        <v>-2.7570049936962034E-3</v>
      </c>
      <c r="AB11">
        <v>112.3</v>
      </c>
      <c r="AC11" t="s">
        <v>34</v>
      </c>
      <c r="AD11" t="s">
        <v>34</v>
      </c>
      <c r="AE11" t="s">
        <v>168</v>
      </c>
      <c r="AF11">
        <v>8.5914849139223287E-2</v>
      </c>
      <c r="AG11">
        <v>2.09</v>
      </c>
      <c r="AH11" t="s">
        <v>244</v>
      </c>
      <c r="AI11" t="s">
        <v>244</v>
      </c>
      <c r="AJ11">
        <v>2.0501568639255006E-3</v>
      </c>
      <c r="AK11">
        <v>8.6205075830722011E-3</v>
      </c>
      <c r="AL11">
        <v>6.5703507191467005E-3</v>
      </c>
      <c r="AM11" t="s">
        <v>168</v>
      </c>
      <c r="AN11" t="s">
        <v>50</v>
      </c>
      <c r="AO11" t="s">
        <v>34</v>
      </c>
      <c r="AP11" t="s">
        <v>31</v>
      </c>
      <c r="AQ11">
        <v>7.4062960850317854E-4</v>
      </c>
    </row>
    <row r="12" spans="1:43" x14ac:dyDescent="0.2">
      <c r="A12">
        <v>10</v>
      </c>
      <c r="B12">
        <v>96</v>
      </c>
      <c r="C12">
        <v>6</v>
      </c>
      <c r="F12" t="s">
        <v>29</v>
      </c>
      <c r="G12" t="s">
        <v>368</v>
      </c>
      <c r="I12">
        <v>1.0442978967119869E-5</v>
      </c>
      <c r="J12">
        <v>2.4194903020774001</v>
      </c>
      <c r="K12">
        <v>2.4194903020774001</v>
      </c>
      <c r="L12" s="1"/>
      <c r="M12" s="1"/>
      <c r="N12" s="1">
        <v>43164</v>
      </c>
      <c r="R12">
        <v>-2.4313878536657216E-3</v>
      </c>
      <c r="S12">
        <v>-2.4313878536657216E-3</v>
      </c>
      <c r="T12" t="s">
        <v>32</v>
      </c>
      <c r="U12" t="s">
        <v>32</v>
      </c>
      <c r="W12" t="s">
        <v>369</v>
      </c>
      <c r="Z12" t="s">
        <v>31</v>
      </c>
      <c r="AA12">
        <v>7.6293389456064762E-3</v>
      </c>
      <c r="AC12" t="s">
        <v>34</v>
      </c>
      <c r="AD12" t="s">
        <v>34</v>
      </c>
      <c r="AE12" t="s">
        <v>168</v>
      </c>
      <c r="AF12">
        <v>1.46</v>
      </c>
      <c r="AG12">
        <v>1.46</v>
      </c>
      <c r="AH12" t="s">
        <v>244</v>
      </c>
      <c r="AI12" t="s">
        <v>244</v>
      </c>
      <c r="AJ12">
        <v>-4.2950691521203999E-3</v>
      </c>
      <c r="AK12">
        <v>0</v>
      </c>
      <c r="AL12">
        <v>4.2950691521203999E-3</v>
      </c>
      <c r="AM12" t="s">
        <v>168</v>
      </c>
      <c r="AN12" t="s">
        <v>34</v>
      </c>
      <c r="AO12" t="s">
        <v>34</v>
      </c>
      <c r="AP12" t="s">
        <v>31</v>
      </c>
    </row>
    <row r="13" spans="1:43" x14ac:dyDescent="0.2">
      <c r="A13">
        <v>11</v>
      </c>
      <c r="B13">
        <v>102</v>
      </c>
      <c r="C13">
        <v>6</v>
      </c>
      <c r="D13">
        <v>16500</v>
      </c>
      <c r="E13" t="s">
        <v>367</v>
      </c>
      <c r="F13" t="s">
        <v>29</v>
      </c>
      <c r="G13" t="s">
        <v>481</v>
      </c>
      <c r="H13">
        <v>6.4262663974076192E-2</v>
      </c>
      <c r="I13">
        <v>-6.2799378145631761E-6</v>
      </c>
      <c r="J13">
        <v>7.95</v>
      </c>
      <c r="K13">
        <v>7.9552534109764999</v>
      </c>
      <c r="L13" s="1">
        <v>48533</v>
      </c>
      <c r="M13" s="1">
        <v>43165</v>
      </c>
      <c r="N13" s="1">
        <v>43164</v>
      </c>
      <c r="R13">
        <v>-1.8407209487297778E-3</v>
      </c>
      <c r="S13">
        <v>-1.8407209487297778E-3</v>
      </c>
      <c r="T13" t="s">
        <v>32</v>
      </c>
      <c r="U13" t="s">
        <v>32</v>
      </c>
      <c r="V13">
        <v>503964713</v>
      </c>
      <c r="W13" t="s">
        <v>369</v>
      </c>
      <c r="X13" t="s">
        <v>370</v>
      </c>
      <c r="Y13">
        <v>16500</v>
      </c>
      <c r="Z13" t="s">
        <v>31</v>
      </c>
      <c r="AA13">
        <v>-4.5879412661354365E-3</v>
      </c>
      <c r="AB13">
        <v>111.97</v>
      </c>
      <c r="AC13" t="s">
        <v>34</v>
      </c>
      <c r="AD13" t="s">
        <v>34</v>
      </c>
      <c r="AE13" t="s">
        <v>168</v>
      </c>
      <c r="AF13">
        <v>9.0114849139223283E-2</v>
      </c>
      <c r="AG13">
        <v>2.5</v>
      </c>
      <c r="AH13" t="s">
        <v>244</v>
      </c>
      <c r="AI13" t="s">
        <v>244</v>
      </c>
      <c r="AJ13">
        <v>3.411672920274395E-3</v>
      </c>
      <c r="AK13">
        <v>8.0833539590032949E-3</v>
      </c>
      <c r="AL13">
        <v>4.6716810387288999E-3</v>
      </c>
      <c r="AM13" t="s">
        <v>168</v>
      </c>
      <c r="AN13" t="s">
        <v>50</v>
      </c>
      <c r="AO13" t="s">
        <v>34</v>
      </c>
      <c r="AP13" t="s">
        <v>31</v>
      </c>
      <c r="AQ13">
        <v>7.2843022255452523E-4</v>
      </c>
    </row>
    <row r="14" spans="1:43" x14ac:dyDescent="0.2">
      <c r="A14">
        <v>12</v>
      </c>
      <c r="B14">
        <v>96</v>
      </c>
      <c r="C14">
        <v>6</v>
      </c>
      <c r="F14" t="s">
        <v>29</v>
      </c>
      <c r="G14" t="s">
        <v>371</v>
      </c>
      <c r="I14">
        <v>3.6392928873450302E-6</v>
      </c>
      <c r="J14">
        <v>1.5343674298614001</v>
      </c>
      <c r="K14">
        <v>1.5343674298614001</v>
      </c>
      <c r="L14" s="1"/>
      <c r="M14" s="1"/>
      <c r="N14" s="1">
        <v>43164</v>
      </c>
      <c r="R14">
        <v>-2.4313878536657216E-3</v>
      </c>
      <c r="S14">
        <v>-2.4313878536657216E-3</v>
      </c>
      <c r="T14" t="s">
        <v>32</v>
      </c>
      <c r="U14" t="s">
        <v>32</v>
      </c>
      <c r="W14" t="s">
        <v>369</v>
      </c>
      <c r="Z14" t="s">
        <v>31</v>
      </c>
      <c r="AA14">
        <v>2.6587623174680842E-3</v>
      </c>
      <c r="AC14" t="s">
        <v>34</v>
      </c>
      <c r="AD14" t="s">
        <v>34</v>
      </c>
      <c r="AE14" t="s">
        <v>168</v>
      </c>
      <c r="AF14">
        <v>1.33</v>
      </c>
      <c r="AG14">
        <v>1.33</v>
      </c>
      <c r="AH14" t="s">
        <v>244</v>
      </c>
      <c r="AI14" t="s">
        <v>244</v>
      </c>
      <c r="AJ14">
        <v>-1.4967965237871E-3</v>
      </c>
      <c r="AK14">
        <v>0</v>
      </c>
      <c r="AL14">
        <v>1.4967965237871E-3</v>
      </c>
      <c r="AM14" t="s">
        <v>168</v>
      </c>
      <c r="AN14" t="s">
        <v>34</v>
      </c>
      <c r="AO14" t="s">
        <v>34</v>
      </c>
      <c r="AP14" t="s">
        <v>31</v>
      </c>
    </row>
    <row r="15" spans="1:43" x14ac:dyDescent="0.2">
      <c r="A15">
        <v>13</v>
      </c>
      <c r="B15">
        <v>102</v>
      </c>
      <c r="C15">
        <v>6</v>
      </c>
      <c r="D15">
        <v>15000</v>
      </c>
      <c r="E15" t="s">
        <v>367</v>
      </c>
      <c r="F15" t="s">
        <v>29</v>
      </c>
      <c r="G15" t="s">
        <v>482</v>
      </c>
      <c r="H15">
        <v>5.1108139885439934E-2</v>
      </c>
      <c r="I15">
        <v>-4.3648534744965179E-6</v>
      </c>
      <c r="J15">
        <v>7.85</v>
      </c>
      <c r="K15">
        <v>7.8538969214155996</v>
      </c>
      <c r="L15" s="1">
        <v>46341</v>
      </c>
      <c r="M15" s="1">
        <v>43165</v>
      </c>
      <c r="N15" s="1">
        <v>43164</v>
      </c>
      <c r="R15">
        <v>-1.8407209487297778E-3</v>
      </c>
      <c r="S15">
        <v>-1.8407209487297778E-3</v>
      </c>
      <c r="T15" t="s">
        <v>32</v>
      </c>
      <c r="U15" t="s">
        <v>32</v>
      </c>
      <c r="V15">
        <v>405909252</v>
      </c>
      <c r="W15" t="s">
        <v>369</v>
      </c>
      <c r="X15" t="s">
        <v>370</v>
      </c>
      <c r="Y15">
        <v>15000</v>
      </c>
      <c r="Z15" t="s">
        <v>31</v>
      </c>
      <c r="AA15">
        <v>-3.1888359355784755E-3</v>
      </c>
      <c r="AB15">
        <v>99.68</v>
      </c>
      <c r="AC15" t="s">
        <v>34</v>
      </c>
      <c r="AD15" t="s">
        <v>34</v>
      </c>
      <c r="AE15" t="s">
        <v>168</v>
      </c>
      <c r="AF15">
        <v>8.941484913922329E-2</v>
      </c>
      <c r="AG15">
        <v>2.44</v>
      </c>
      <c r="AH15" t="s">
        <v>244</v>
      </c>
      <c r="AI15" t="s">
        <v>244</v>
      </c>
      <c r="AJ15">
        <v>2.3712738628354083E-3</v>
      </c>
      <c r="AK15">
        <v>6.5105910682089086E-3</v>
      </c>
      <c r="AL15">
        <v>4.1393172053735003E-3</v>
      </c>
      <c r="AM15" t="s">
        <v>168</v>
      </c>
      <c r="AN15" t="s">
        <v>50</v>
      </c>
      <c r="AO15" t="s">
        <v>34</v>
      </c>
      <c r="AP15" t="s">
        <v>31</v>
      </c>
      <c r="AQ15">
        <v>5.8214351817107422E-4</v>
      </c>
    </row>
    <row r="16" spans="1:43" x14ac:dyDescent="0.2">
      <c r="A16">
        <v>14</v>
      </c>
      <c r="B16">
        <v>102</v>
      </c>
      <c r="C16">
        <v>6</v>
      </c>
      <c r="D16">
        <v>25000</v>
      </c>
      <c r="E16" t="s">
        <v>483</v>
      </c>
      <c r="F16" t="s">
        <v>29</v>
      </c>
      <c r="G16" t="s">
        <v>484</v>
      </c>
      <c r="H16">
        <v>9.4348325120626658E-2</v>
      </c>
      <c r="I16">
        <v>-1.3677753593512189E-5</v>
      </c>
      <c r="J16">
        <v>7.37</v>
      </c>
      <c r="K16">
        <v>7.3773859756864004</v>
      </c>
      <c r="L16" s="1">
        <v>48563</v>
      </c>
      <c r="M16" s="1">
        <v>43165</v>
      </c>
      <c r="N16" s="1">
        <v>43164</v>
      </c>
      <c r="R16">
        <v>-1.8407209487297778E-3</v>
      </c>
      <c r="S16">
        <v>-1.8407209487297778E-3</v>
      </c>
      <c r="T16" t="s">
        <v>32</v>
      </c>
      <c r="U16" t="s">
        <v>32</v>
      </c>
      <c r="V16">
        <v>798132948</v>
      </c>
      <c r="W16" t="s">
        <v>485</v>
      </c>
      <c r="X16" t="s">
        <v>486</v>
      </c>
      <c r="Y16">
        <v>25000</v>
      </c>
      <c r="Z16" t="s">
        <v>31</v>
      </c>
      <c r="AA16">
        <v>-9.9925719000247496E-3</v>
      </c>
      <c r="AB16">
        <v>117.25</v>
      </c>
      <c r="AC16" t="s">
        <v>34</v>
      </c>
      <c r="AD16" t="s">
        <v>34</v>
      </c>
      <c r="AE16" t="s">
        <v>38</v>
      </c>
      <c r="AF16">
        <v>8.9114849139223282E-2</v>
      </c>
      <c r="AG16">
        <v>2.41</v>
      </c>
      <c r="AH16" t="s">
        <v>244</v>
      </c>
      <c r="AI16" t="s">
        <v>244</v>
      </c>
      <c r="AJ16">
        <v>7.4306502585037492E-3</v>
      </c>
      <c r="AK16">
        <v>1.2801672336584349E-2</v>
      </c>
      <c r="AL16">
        <v>5.3710220780805997E-3</v>
      </c>
      <c r="AM16" t="s">
        <v>38</v>
      </c>
      <c r="AN16" t="s">
        <v>50</v>
      </c>
      <c r="AO16" t="s">
        <v>34</v>
      </c>
      <c r="AP16" t="s">
        <v>31</v>
      </c>
      <c r="AQ16">
        <v>1.1408190990044823E-3</v>
      </c>
    </row>
    <row r="17" spans="1:43" x14ac:dyDescent="0.2">
      <c r="A17">
        <v>15</v>
      </c>
      <c r="B17">
        <v>102</v>
      </c>
      <c r="C17">
        <v>6</v>
      </c>
      <c r="D17">
        <v>25000</v>
      </c>
      <c r="E17" t="s">
        <v>255</v>
      </c>
      <c r="F17" t="s">
        <v>29</v>
      </c>
      <c r="G17" t="s">
        <v>487</v>
      </c>
      <c r="H17">
        <v>3.747941733454116E-2</v>
      </c>
      <c r="I17">
        <v>-1.3580541069660607E-5</v>
      </c>
      <c r="J17">
        <v>5.08</v>
      </c>
      <c r="L17" s="1">
        <v>47240</v>
      </c>
      <c r="M17" s="1">
        <v>43165</v>
      </c>
      <c r="N17" s="1"/>
      <c r="R17">
        <v>-1.8407209487297778E-3</v>
      </c>
      <c r="T17" t="s">
        <v>32</v>
      </c>
      <c r="V17">
        <v>459978625</v>
      </c>
      <c r="W17" t="s">
        <v>256</v>
      </c>
      <c r="X17" t="s">
        <v>488</v>
      </c>
      <c r="Y17">
        <v>25000</v>
      </c>
      <c r="Z17" t="s">
        <v>31</v>
      </c>
      <c r="AA17">
        <v>-9.9215512366147441E-3</v>
      </c>
      <c r="AB17">
        <v>105.2</v>
      </c>
      <c r="AC17" t="s">
        <v>34</v>
      </c>
      <c r="AE17" t="s">
        <v>40</v>
      </c>
      <c r="AF17">
        <v>8.7114849139223294E-2</v>
      </c>
      <c r="AH17" t="s">
        <v>244</v>
      </c>
      <c r="AJ17">
        <v>7.3778380579805434E-3</v>
      </c>
      <c r="AK17">
        <v>7.3778380579805434E-3</v>
      </c>
      <c r="AL17">
        <v>0</v>
      </c>
      <c r="AN17" t="s">
        <v>50</v>
      </c>
      <c r="AQ17">
        <v>6.4271924939459518E-4</v>
      </c>
    </row>
    <row r="18" spans="1:43" x14ac:dyDescent="0.2">
      <c r="A18">
        <v>16</v>
      </c>
      <c r="B18">
        <v>102</v>
      </c>
      <c r="C18">
        <v>6</v>
      </c>
      <c r="F18" t="s">
        <v>29</v>
      </c>
      <c r="G18" t="s">
        <v>1047</v>
      </c>
      <c r="I18">
        <v>2.5917697716394875E-6</v>
      </c>
      <c r="J18">
        <v>8.3054673819060998</v>
      </c>
      <c r="K18">
        <v>8.3054673819060998</v>
      </c>
      <c r="L18" s="1"/>
      <c r="M18" s="1"/>
      <c r="N18" s="1">
        <v>43164</v>
      </c>
      <c r="R18">
        <v>-1.8407209487297778E-3</v>
      </c>
      <c r="S18">
        <v>-1.8407209487297778E-3</v>
      </c>
      <c r="T18" t="s">
        <v>32</v>
      </c>
      <c r="U18" t="s">
        <v>32</v>
      </c>
      <c r="AA18">
        <v>1.8934721710224985E-3</v>
      </c>
      <c r="AC18" t="s">
        <v>34</v>
      </c>
      <c r="AD18" t="s">
        <v>34</v>
      </c>
      <c r="AF18">
        <v>2.56</v>
      </c>
      <c r="AG18">
        <v>2.56</v>
      </c>
      <c r="AH18" t="s">
        <v>244</v>
      </c>
      <c r="AI18" t="s">
        <v>244</v>
      </c>
      <c r="AJ18">
        <v>-1.4080188381775001E-3</v>
      </c>
      <c r="AK18">
        <v>0</v>
      </c>
      <c r="AL18">
        <v>1.4080188381775001E-3</v>
      </c>
      <c r="AN18" t="s">
        <v>34</v>
      </c>
      <c r="AO18" t="s">
        <v>34</v>
      </c>
    </row>
    <row r="19" spans="1:43" x14ac:dyDescent="0.2">
      <c r="A19">
        <v>17</v>
      </c>
      <c r="B19">
        <v>107</v>
      </c>
      <c r="C19">
        <v>6</v>
      </c>
      <c r="D19">
        <v>200000000</v>
      </c>
      <c r="E19" t="s">
        <v>255</v>
      </c>
      <c r="F19" t="s">
        <v>29</v>
      </c>
      <c r="G19" t="s">
        <v>419</v>
      </c>
      <c r="H19">
        <v>2.6916684495273593E-3</v>
      </c>
      <c r="I19">
        <v>-5.4193120014975748E-7</v>
      </c>
      <c r="J19">
        <v>1.03</v>
      </c>
      <c r="L19" s="1">
        <v>43931</v>
      </c>
      <c r="M19" s="1">
        <v>43165</v>
      </c>
      <c r="R19">
        <v>-2.0737663149124656E-4</v>
      </c>
      <c r="T19" t="s">
        <v>39</v>
      </c>
      <c r="V19">
        <v>162926929</v>
      </c>
      <c r="W19" t="s">
        <v>256</v>
      </c>
      <c r="X19" t="s">
        <v>420</v>
      </c>
      <c r="Y19">
        <v>200000000</v>
      </c>
      <c r="Z19" t="s">
        <v>31</v>
      </c>
      <c r="AA19">
        <v>-3.959192893291925E-4</v>
      </c>
      <c r="AB19">
        <v>102.61</v>
      </c>
      <c r="AC19" t="s">
        <v>34</v>
      </c>
      <c r="AE19" t="s">
        <v>40</v>
      </c>
      <c r="AF19">
        <v>3.85E-2</v>
      </c>
      <c r="AH19" t="s">
        <v>244</v>
      </c>
      <c r="AJ19">
        <v>2.6132703393469507E-3</v>
      </c>
      <c r="AK19">
        <v>2.6132703393469507E-3</v>
      </c>
      <c r="AL19">
        <v>0</v>
      </c>
      <c r="AN19" t="s">
        <v>50</v>
      </c>
      <c r="AQ19">
        <v>1.006109080648576E-4</v>
      </c>
    </row>
    <row r="20" spans="1:43" x14ac:dyDescent="0.2">
      <c r="A20">
        <v>18</v>
      </c>
      <c r="B20">
        <v>99</v>
      </c>
      <c r="C20">
        <v>6</v>
      </c>
      <c r="D20">
        <v>22000</v>
      </c>
      <c r="E20" t="s">
        <v>255</v>
      </c>
      <c r="F20" t="s">
        <v>29</v>
      </c>
      <c r="G20" t="s">
        <v>489</v>
      </c>
      <c r="H20">
        <v>3.7203008967304191E-2</v>
      </c>
      <c r="I20">
        <v>-2.0696009405764971E-5</v>
      </c>
      <c r="J20">
        <v>3.79</v>
      </c>
      <c r="K20">
        <v>3.7999509288155999</v>
      </c>
      <c r="L20" s="1">
        <v>45261</v>
      </c>
      <c r="M20" s="1">
        <v>43165</v>
      </c>
      <c r="N20" s="1">
        <v>43164</v>
      </c>
      <c r="R20">
        <v>-2.4229989783995497E-3</v>
      </c>
      <c r="S20">
        <v>-2.4229989783995497E-3</v>
      </c>
      <c r="T20" t="s">
        <v>32</v>
      </c>
      <c r="U20" t="s">
        <v>32</v>
      </c>
      <c r="V20">
        <v>611994317</v>
      </c>
      <c r="W20" t="s">
        <v>256</v>
      </c>
      <c r="X20" t="s">
        <v>420</v>
      </c>
      <c r="Y20">
        <v>22000</v>
      </c>
      <c r="Z20" t="s">
        <v>31</v>
      </c>
      <c r="AA20">
        <v>-1.5119906980104543E-2</v>
      </c>
      <c r="AB20">
        <v>102.55</v>
      </c>
      <c r="AC20" t="s">
        <v>34</v>
      </c>
      <c r="AD20" t="s">
        <v>34</v>
      </c>
      <c r="AE20" t="s">
        <v>40</v>
      </c>
      <c r="AF20">
        <v>8.3214849139223279E-2</v>
      </c>
      <c r="AG20">
        <v>1.84</v>
      </c>
      <c r="AH20" t="s">
        <v>244</v>
      </c>
      <c r="AI20" t="s">
        <v>244</v>
      </c>
      <c r="AJ20">
        <v>8.5414849904044098E-3</v>
      </c>
      <c r="AK20">
        <v>9.8160973528507098E-3</v>
      </c>
      <c r="AL20">
        <v>1.2746123624462998E-3</v>
      </c>
      <c r="AM20" t="s">
        <v>40</v>
      </c>
      <c r="AN20" t="s">
        <v>50</v>
      </c>
      <c r="AO20" t="s">
        <v>34</v>
      </c>
      <c r="AP20" t="s">
        <v>31</v>
      </c>
      <c r="AQ20">
        <v>8.1684506035340084E-4</v>
      </c>
    </row>
    <row r="21" spans="1:43" x14ac:dyDescent="0.2">
      <c r="A21">
        <v>19</v>
      </c>
      <c r="B21">
        <v>91</v>
      </c>
      <c r="C21">
        <v>6</v>
      </c>
      <c r="F21" t="s">
        <v>29</v>
      </c>
      <c r="G21" t="s">
        <v>985</v>
      </c>
      <c r="I21">
        <v>3.4712275270721917E-6</v>
      </c>
      <c r="J21">
        <v>8.9484545698001998</v>
      </c>
      <c r="K21">
        <v>8.9484545698001998</v>
      </c>
      <c r="L21" s="1"/>
      <c r="M21" s="1"/>
      <c r="N21" s="1">
        <v>43164</v>
      </c>
      <c r="R21">
        <v>-1.6084208318337245E-3</v>
      </c>
      <c r="S21">
        <v>-1.6084208318337245E-3</v>
      </c>
      <c r="T21" t="s">
        <v>32</v>
      </c>
      <c r="U21" t="s">
        <v>32</v>
      </c>
      <c r="AA21">
        <v>2.5359786172830991E-3</v>
      </c>
      <c r="AC21" t="s">
        <v>138</v>
      </c>
      <c r="AD21" t="s">
        <v>138</v>
      </c>
      <c r="AF21">
        <v>2.68</v>
      </c>
      <c r="AG21">
        <v>2.68</v>
      </c>
      <c r="AH21" t="s">
        <v>244</v>
      </c>
      <c r="AI21" t="s">
        <v>244</v>
      </c>
      <c r="AJ21">
        <v>-2.1581587718649E-3</v>
      </c>
      <c r="AK21">
        <v>0</v>
      </c>
      <c r="AL21">
        <v>2.1581587718649E-3</v>
      </c>
      <c r="AN21" t="s">
        <v>138</v>
      </c>
      <c r="AO21" t="s">
        <v>138</v>
      </c>
    </row>
    <row r="22" spans="1:43" x14ac:dyDescent="0.2">
      <c r="A22">
        <v>20</v>
      </c>
      <c r="B22">
        <v>99</v>
      </c>
      <c r="C22">
        <v>6</v>
      </c>
      <c r="F22" t="s">
        <v>29</v>
      </c>
      <c r="G22" t="s">
        <v>1020</v>
      </c>
      <c r="I22">
        <v>4.166791283177325E-6</v>
      </c>
      <c r="J22">
        <v>4.8610637208760998</v>
      </c>
      <c r="K22">
        <v>4.8610637208760998</v>
      </c>
      <c r="L22" s="1"/>
      <c r="M22" s="1"/>
      <c r="N22" s="1">
        <v>43164</v>
      </c>
      <c r="R22">
        <v>-2.4229989783995497E-3</v>
      </c>
      <c r="S22">
        <v>-2.4229989783995497E-3</v>
      </c>
      <c r="T22" t="s">
        <v>32</v>
      </c>
      <c r="U22" t="s">
        <v>32</v>
      </c>
      <c r="AA22">
        <v>3.0441374166365735E-3</v>
      </c>
      <c r="AC22" t="s">
        <v>33</v>
      </c>
      <c r="AD22" t="s">
        <v>33</v>
      </c>
      <c r="AF22">
        <v>1.79</v>
      </c>
      <c r="AG22">
        <v>1.79</v>
      </c>
      <c r="AH22" t="s">
        <v>244</v>
      </c>
      <c r="AI22" t="s">
        <v>244</v>
      </c>
      <c r="AJ22">
        <v>-1.7196834667795001E-3</v>
      </c>
      <c r="AK22">
        <v>0</v>
      </c>
      <c r="AL22">
        <v>1.7196834667795001E-3</v>
      </c>
      <c r="AN22" t="s">
        <v>33</v>
      </c>
      <c r="AO22" t="s">
        <v>33</v>
      </c>
    </row>
    <row r="23" spans="1:43" x14ac:dyDescent="0.2">
      <c r="A23">
        <v>21</v>
      </c>
      <c r="B23">
        <v>102</v>
      </c>
      <c r="C23">
        <v>6</v>
      </c>
      <c r="F23" t="s">
        <v>29</v>
      </c>
      <c r="G23" t="s">
        <v>1048</v>
      </c>
      <c r="I23">
        <v>3.1669325673352639E-6</v>
      </c>
      <c r="J23">
        <v>5.2171811560692998</v>
      </c>
      <c r="K23">
        <v>5.2171811560692998</v>
      </c>
      <c r="L23" s="1"/>
      <c r="M23" s="1"/>
      <c r="N23" s="1">
        <v>43164</v>
      </c>
      <c r="R23">
        <v>-1.8407209487297778E-3</v>
      </c>
      <c r="S23">
        <v>-1.8407209487297778E-3</v>
      </c>
      <c r="T23" t="s">
        <v>32</v>
      </c>
      <c r="U23" t="s">
        <v>32</v>
      </c>
      <c r="AA23">
        <v>2.3136695046647314E-3</v>
      </c>
      <c r="AC23" t="s">
        <v>33</v>
      </c>
      <c r="AD23" t="s">
        <v>33</v>
      </c>
      <c r="AF23">
        <v>1.87</v>
      </c>
      <c r="AG23">
        <v>1.87</v>
      </c>
      <c r="AH23" t="s">
        <v>244</v>
      </c>
      <c r="AI23" t="s">
        <v>244</v>
      </c>
      <c r="AJ23">
        <v>-1.7204848836650998E-3</v>
      </c>
      <c r="AK23">
        <v>0</v>
      </c>
      <c r="AL23">
        <v>1.7204848836650998E-3</v>
      </c>
      <c r="AN23" t="s">
        <v>33</v>
      </c>
      <c r="AO23" t="s">
        <v>33</v>
      </c>
    </row>
    <row r="24" spans="1:43" x14ac:dyDescent="0.2">
      <c r="A24">
        <v>22</v>
      </c>
      <c r="B24">
        <v>102</v>
      </c>
      <c r="C24">
        <v>6</v>
      </c>
      <c r="F24" t="s">
        <v>29</v>
      </c>
      <c r="G24" t="s">
        <v>1049</v>
      </c>
      <c r="I24">
        <v>3.1550641511395713E-6</v>
      </c>
      <c r="J24">
        <v>5.7322809107774999</v>
      </c>
      <c r="K24">
        <v>5.7322809107774999</v>
      </c>
      <c r="L24" s="1"/>
      <c r="M24" s="1"/>
      <c r="N24" s="1">
        <v>43164</v>
      </c>
      <c r="R24">
        <v>-1.8407209487297778E-3</v>
      </c>
      <c r="S24">
        <v>-1.8407209487297778E-3</v>
      </c>
      <c r="T24" t="s">
        <v>32</v>
      </c>
      <c r="U24" t="s">
        <v>32</v>
      </c>
      <c r="AA24">
        <v>2.3049987824321615E-3</v>
      </c>
      <c r="AC24" t="s">
        <v>33</v>
      </c>
      <c r="AD24" t="s">
        <v>33</v>
      </c>
      <c r="AF24">
        <v>1.96</v>
      </c>
      <c r="AG24">
        <v>1.96</v>
      </c>
      <c r="AH24" t="s">
        <v>244</v>
      </c>
      <c r="AI24" t="s">
        <v>244</v>
      </c>
      <c r="AJ24">
        <v>-1.7140371838093001E-3</v>
      </c>
      <c r="AK24">
        <v>0</v>
      </c>
      <c r="AL24">
        <v>1.7140371838093001E-3</v>
      </c>
      <c r="AN24" t="s">
        <v>33</v>
      </c>
      <c r="AO24" t="s">
        <v>33</v>
      </c>
    </row>
    <row r="25" spans="1:43" x14ac:dyDescent="0.2">
      <c r="A25">
        <v>23</v>
      </c>
      <c r="B25">
        <v>93</v>
      </c>
      <c r="C25">
        <v>6</v>
      </c>
      <c r="D25">
        <v>5000</v>
      </c>
      <c r="E25" t="s">
        <v>325</v>
      </c>
      <c r="F25" t="s">
        <v>29</v>
      </c>
      <c r="G25" t="s">
        <v>326</v>
      </c>
      <c r="H25">
        <v>1.5347450910478655E-4</v>
      </c>
      <c r="I25">
        <v>8.013285585945579E-6</v>
      </c>
      <c r="J25">
        <v>7.0000000000000007E-2</v>
      </c>
      <c r="K25">
        <v>7.3972602739726001E-2</v>
      </c>
      <c r="L25" s="1">
        <v>43191</v>
      </c>
      <c r="M25" s="1">
        <v>43165</v>
      </c>
      <c r="N25" s="1">
        <v>43164</v>
      </c>
      <c r="R25">
        <v>-2.1922679503766566E-3</v>
      </c>
      <c r="S25">
        <v>-2.1922679503766566E-3</v>
      </c>
      <c r="T25" t="s">
        <v>32</v>
      </c>
      <c r="U25" t="s">
        <v>32</v>
      </c>
      <c r="V25">
        <v>136693148</v>
      </c>
      <c r="W25" t="s">
        <v>172</v>
      </c>
      <c r="X25" t="s">
        <v>327</v>
      </c>
      <c r="Y25">
        <v>5000</v>
      </c>
      <c r="Z25" t="s">
        <v>31</v>
      </c>
      <c r="AA25">
        <v>5.8542751063284677E-3</v>
      </c>
      <c r="AB25">
        <v>100.15</v>
      </c>
      <c r="AC25" t="s">
        <v>33</v>
      </c>
      <c r="AD25" t="s">
        <v>33</v>
      </c>
      <c r="AE25" t="s">
        <v>41</v>
      </c>
      <c r="AF25">
        <v>7.2914849139223289E-2</v>
      </c>
      <c r="AG25">
        <v>0.56000000000000005</v>
      </c>
      <c r="AH25" t="s">
        <v>244</v>
      </c>
      <c r="AI25" t="s">
        <v>244</v>
      </c>
      <c r="AJ25">
        <v>-3.6552491608376637E-3</v>
      </c>
      <c r="AK25">
        <v>2.1924929872112362E-3</v>
      </c>
      <c r="AL25">
        <v>5.8477421480488999E-3</v>
      </c>
      <c r="AM25" t="s">
        <v>41</v>
      </c>
      <c r="AN25" t="s">
        <v>144</v>
      </c>
      <c r="AO25" t="s">
        <v>33</v>
      </c>
      <c r="AP25" t="s">
        <v>31</v>
      </c>
      <c r="AQ25">
        <v>1.598652954013123E-4</v>
      </c>
    </row>
    <row r="26" spans="1:43" x14ac:dyDescent="0.2">
      <c r="A26">
        <v>24</v>
      </c>
      <c r="B26">
        <v>96</v>
      </c>
      <c r="C26">
        <v>6</v>
      </c>
      <c r="F26" t="s">
        <v>29</v>
      </c>
      <c r="G26" t="s">
        <v>372</v>
      </c>
      <c r="I26">
        <v>2.0655129301918234E-5</v>
      </c>
      <c r="J26">
        <v>1.1346541897441</v>
      </c>
      <c r="K26">
        <v>1.1346541897441</v>
      </c>
      <c r="L26" s="1"/>
      <c r="M26" s="1"/>
      <c r="N26" s="1">
        <v>43164</v>
      </c>
      <c r="R26">
        <v>-2.4313878536657216E-3</v>
      </c>
      <c r="S26">
        <v>-2.4313878536657216E-3</v>
      </c>
      <c r="T26" t="s">
        <v>32</v>
      </c>
      <c r="U26" t="s">
        <v>32</v>
      </c>
      <c r="W26" t="s">
        <v>172</v>
      </c>
      <c r="Z26" t="s">
        <v>31</v>
      </c>
      <c r="AA26">
        <v>1.5090041156438678E-2</v>
      </c>
      <c r="AC26" t="s">
        <v>33</v>
      </c>
      <c r="AD26" t="s">
        <v>33</v>
      </c>
      <c r="AE26" t="s">
        <v>41</v>
      </c>
      <c r="AF26">
        <v>1.1000000000000001</v>
      </c>
      <c r="AG26">
        <v>1.1000000000000001</v>
      </c>
      <c r="AH26" t="s">
        <v>244</v>
      </c>
      <c r="AI26" t="s">
        <v>244</v>
      </c>
      <c r="AJ26">
        <v>-8.4952013191878003E-3</v>
      </c>
      <c r="AK26">
        <v>0</v>
      </c>
      <c r="AL26">
        <v>8.4952013191878003E-3</v>
      </c>
      <c r="AM26" t="s">
        <v>41</v>
      </c>
      <c r="AN26" t="s">
        <v>33</v>
      </c>
      <c r="AO26" t="s">
        <v>33</v>
      </c>
      <c r="AP26" t="s">
        <v>31</v>
      </c>
    </row>
    <row r="27" spans="1:43" x14ac:dyDescent="0.2">
      <c r="A27">
        <v>25</v>
      </c>
      <c r="B27">
        <v>99</v>
      </c>
      <c r="C27">
        <v>6</v>
      </c>
      <c r="D27">
        <v>20000</v>
      </c>
      <c r="E27" t="s">
        <v>325</v>
      </c>
      <c r="F27" t="s">
        <v>29</v>
      </c>
      <c r="G27" t="s">
        <v>490</v>
      </c>
      <c r="H27">
        <v>2.8265421013226644E-2</v>
      </c>
      <c r="I27">
        <v>-1.3625375566532967E-5</v>
      </c>
      <c r="J27">
        <v>3.11</v>
      </c>
      <c r="K27">
        <v>3.1195325159573999</v>
      </c>
      <c r="L27" s="1">
        <v>44356</v>
      </c>
      <c r="M27" s="1">
        <v>43165</v>
      </c>
      <c r="N27" s="1">
        <v>43164</v>
      </c>
      <c r="R27">
        <v>-2.4229989783995497E-3</v>
      </c>
      <c r="S27">
        <v>-2.4229989783995497E-3</v>
      </c>
      <c r="T27" t="s">
        <v>32</v>
      </c>
      <c r="U27" t="s">
        <v>32</v>
      </c>
      <c r="V27">
        <v>566635268</v>
      </c>
      <c r="W27" t="s">
        <v>172</v>
      </c>
      <c r="X27" t="s">
        <v>327</v>
      </c>
      <c r="Y27">
        <v>20000</v>
      </c>
      <c r="Z27" t="s">
        <v>31</v>
      </c>
      <c r="AA27">
        <v>-9.9543060256621942E-3</v>
      </c>
      <c r="AB27">
        <v>104.38</v>
      </c>
      <c r="AC27" t="s">
        <v>33</v>
      </c>
      <c r="AD27" t="s">
        <v>33</v>
      </c>
      <c r="AE27" t="s">
        <v>41</v>
      </c>
      <c r="AF27">
        <v>8.0914849139223283E-2</v>
      </c>
      <c r="AG27">
        <v>1.57</v>
      </c>
      <c r="AH27" t="s">
        <v>244</v>
      </c>
      <c r="AI27" t="s">
        <v>244</v>
      </c>
      <c r="AJ27">
        <v>5.6233517587088964E-3</v>
      </c>
      <c r="AK27">
        <v>9.0885598113268958E-3</v>
      </c>
      <c r="AL27">
        <v>3.4652080526179998E-3</v>
      </c>
      <c r="AM27" t="s">
        <v>41</v>
      </c>
      <c r="AN27" t="s">
        <v>144</v>
      </c>
      <c r="AO27" t="s">
        <v>33</v>
      </c>
      <c r="AP27" t="s">
        <v>31</v>
      </c>
      <c r="AQ27">
        <v>7.3539944602632338E-4</v>
      </c>
    </row>
    <row r="28" spans="1:43" x14ac:dyDescent="0.2">
      <c r="A28">
        <v>26</v>
      </c>
      <c r="B28">
        <v>99</v>
      </c>
      <c r="C28">
        <v>6</v>
      </c>
      <c r="F28" t="s">
        <v>29</v>
      </c>
      <c r="G28" t="s">
        <v>491</v>
      </c>
      <c r="I28">
        <v>6.3446597552274066E-6</v>
      </c>
      <c r="J28">
        <v>3.4064406563685998</v>
      </c>
      <c r="K28">
        <v>3.4064406563685998</v>
      </c>
      <c r="L28" s="1"/>
      <c r="M28" s="1"/>
      <c r="N28" s="1">
        <v>43164</v>
      </c>
      <c r="R28">
        <v>-2.4229989783995497E-3</v>
      </c>
      <c r="S28">
        <v>-2.4229989783995497E-3</v>
      </c>
      <c r="T28" t="s">
        <v>32</v>
      </c>
      <c r="U28" t="s">
        <v>32</v>
      </c>
      <c r="W28" t="s">
        <v>172</v>
      </c>
      <c r="Z28" t="s">
        <v>31</v>
      </c>
      <c r="AA28">
        <v>4.6352252474686885E-3</v>
      </c>
      <c r="AC28" t="s">
        <v>33</v>
      </c>
      <c r="AD28" t="s">
        <v>33</v>
      </c>
      <c r="AE28" t="s">
        <v>41</v>
      </c>
      <c r="AF28">
        <v>1.62</v>
      </c>
      <c r="AG28">
        <v>1.62</v>
      </c>
      <c r="AH28" t="s">
        <v>244</v>
      </c>
      <c r="AI28" t="s">
        <v>244</v>
      </c>
      <c r="AJ28">
        <v>-2.6185152415615998E-3</v>
      </c>
      <c r="AK28">
        <v>0</v>
      </c>
      <c r="AL28">
        <v>2.6185152415615998E-3</v>
      </c>
      <c r="AM28" t="s">
        <v>41</v>
      </c>
      <c r="AN28" t="s">
        <v>33</v>
      </c>
      <c r="AO28" t="s">
        <v>33</v>
      </c>
      <c r="AP28" t="s">
        <v>31</v>
      </c>
    </row>
    <row r="29" spans="1:43" x14ac:dyDescent="0.2">
      <c r="A29">
        <v>27</v>
      </c>
      <c r="B29">
        <v>99</v>
      </c>
      <c r="C29">
        <v>6</v>
      </c>
      <c r="F29" t="s">
        <v>29</v>
      </c>
      <c r="G29" t="s">
        <v>492</v>
      </c>
      <c r="I29">
        <v>6.0942797284576989E-6</v>
      </c>
      <c r="J29">
        <v>4.0082142982929998</v>
      </c>
      <c r="K29">
        <v>4.0082142982929998</v>
      </c>
      <c r="L29" s="1"/>
      <c r="M29" s="1"/>
      <c r="N29" s="1">
        <v>43164</v>
      </c>
      <c r="R29">
        <v>-2.4229989783995497E-3</v>
      </c>
      <c r="S29">
        <v>-2.4229989783995497E-3</v>
      </c>
      <c r="T29" t="s">
        <v>32</v>
      </c>
      <c r="U29" t="s">
        <v>32</v>
      </c>
      <c r="AA29">
        <v>4.4523048283573825E-3</v>
      </c>
      <c r="AC29" t="s">
        <v>33</v>
      </c>
      <c r="AD29" t="s">
        <v>33</v>
      </c>
      <c r="AF29">
        <v>1.68</v>
      </c>
      <c r="AG29">
        <v>1.68</v>
      </c>
      <c r="AH29" t="s">
        <v>244</v>
      </c>
      <c r="AI29" t="s">
        <v>244</v>
      </c>
      <c r="AJ29">
        <v>-2.5151804779064003E-3</v>
      </c>
      <c r="AK29">
        <v>0</v>
      </c>
      <c r="AL29">
        <v>2.5151804779064003E-3</v>
      </c>
      <c r="AN29" t="s">
        <v>33</v>
      </c>
      <c r="AO29" t="s">
        <v>33</v>
      </c>
    </row>
    <row r="30" spans="1:43" x14ac:dyDescent="0.2">
      <c r="A30">
        <v>28</v>
      </c>
      <c r="B30">
        <v>96</v>
      </c>
      <c r="C30">
        <v>6</v>
      </c>
      <c r="F30" t="s">
        <v>29</v>
      </c>
      <c r="G30" t="s">
        <v>493</v>
      </c>
      <c r="I30">
        <v>5.3177934326418579E-6</v>
      </c>
      <c r="J30">
        <v>1.1565682662323999</v>
      </c>
      <c r="K30">
        <v>1.1565682662323999</v>
      </c>
      <c r="L30" s="1"/>
      <c r="M30" s="1"/>
      <c r="N30" s="1">
        <v>43164</v>
      </c>
      <c r="R30">
        <v>-2.4313878536657216E-3</v>
      </c>
      <c r="S30">
        <v>-2.4313878536657216E-3</v>
      </c>
      <c r="T30" t="s">
        <v>32</v>
      </c>
      <c r="U30" t="s">
        <v>32</v>
      </c>
      <c r="W30" t="s">
        <v>172</v>
      </c>
      <c r="Z30" t="s">
        <v>31</v>
      </c>
      <c r="AA30">
        <v>3.8850263577169938E-3</v>
      </c>
      <c r="AC30" t="s">
        <v>33</v>
      </c>
      <c r="AD30" t="s">
        <v>33</v>
      </c>
      <c r="AE30" t="s">
        <v>41</v>
      </c>
      <c r="AF30">
        <v>1.1200000000000001</v>
      </c>
      <c r="AG30">
        <v>1.1200000000000001</v>
      </c>
      <c r="AH30" t="s">
        <v>244</v>
      </c>
      <c r="AI30" t="s">
        <v>244</v>
      </c>
      <c r="AJ30">
        <v>-2.1871432090213002E-3</v>
      </c>
      <c r="AK30">
        <v>0</v>
      </c>
      <c r="AL30">
        <v>2.1871432090213002E-3</v>
      </c>
      <c r="AM30" t="s">
        <v>41</v>
      </c>
      <c r="AN30" t="s">
        <v>33</v>
      </c>
      <c r="AO30" t="s">
        <v>33</v>
      </c>
      <c r="AP30" t="s">
        <v>31</v>
      </c>
    </row>
    <row r="31" spans="1:43" x14ac:dyDescent="0.2">
      <c r="A31">
        <v>29</v>
      </c>
      <c r="B31">
        <v>99</v>
      </c>
      <c r="C31">
        <v>6</v>
      </c>
      <c r="F31" t="s">
        <v>29</v>
      </c>
      <c r="G31" t="s">
        <v>494</v>
      </c>
      <c r="I31">
        <v>4.2293918514871302E-6</v>
      </c>
      <c r="J31">
        <v>4.6078424147578003</v>
      </c>
      <c r="K31">
        <v>4.6078424147578003</v>
      </c>
      <c r="L31" s="1"/>
      <c r="M31" s="1"/>
      <c r="N31" s="1">
        <v>43164</v>
      </c>
      <c r="R31">
        <v>-2.4229989783995497E-3</v>
      </c>
      <c r="S31">
        <v>-2.4229989783995497E-3</v>
      </c>
      <c r="T31" t="s">
        <v>32</v>
      </c>
      <c r="U31" t="s">
        <v>32</v>
      </c>
      <c r="W31" t="s">
        <v>172</v>
      </c>
      <c r="Z31" t="s">
        <v>31</v>
      </c>
      <c r="AA31">
        <v>3.0898715845714933E-3</v>
      </c>
      <c r="AC31" t="s">
        <v>33</v>
      </c>
      <c r="AD31" t="s">
        <v>33</v>
      </c>
      <c r="AE31" t="s">
        <v>41</v>
      </c>
      <c r="AF31">
        <v>1.78</v>
      </c>
      <c r="AG31">
        <v>1.78</v>
      </c>
      <c r="AH31" t="s">
        <v>244</v>
      </c>
      <c r="AI31" t="s">
        <v>244</v>
      </c>
      <c r="AJ31">
        <v>-1.7455194530377998E-3</v>
      </c>
      <c r="AK31">
        <v>0</v>
      </c>
      <c r="AL31">
        <v>1.7455194530377998E-3</v>
      </c>
      <c r="AM31" t="s">
        <v>41</v>
      </c>
      <c r="AN31" t="s">
        <v>33</v>
      </c>
      <c r="AO31" t="s">
        <v>33</v>
      </c>
      <c r="AP31" t="s">
        <v>31</v>
      </c>
    </row>
    <row r="32" spans="1:43" x14ac:dyDescent="0.2">
      <c r="A32">
        <v>30</v>
      </c>
      <c r="B32">
        <v>102</v>
      </c>
      <c r="C32">
        <v>6</v>
      </c>
      <c r="F32" t="s">
        <v>29</v>
      </c>
      <c r="G32" t="s">
        <v>495</v>
      </c>
      <c r="I32">
        <v>3.2239536763763444E-6</v>
      </c>
      <c r="J32">
        <v>5.4699869712898002</v>
      </c>
      <c r="K32">
        <v>5.4699869712898002</v>
      </c>
      <c r="L32" s="1"/>
      <c r="M32" s="1"/>
      <c r="N32" s="1">
        <v>43164</v>
      </c>
      <c r="R32">
        <v>-1.8407209487297778E-3</v>
      </c>
      <c r="S32">
        <v>-1.8407209487297778E-3</v>
      </c>
      <c r="T32" t="s">
        <v>32</v>
      </c>
      <c r="U32" t="s">
        <v>32</v>
      </c>
      <c r="W32" t="s">
        <v>172</v>
      </c>
      <c r="Z32" t="s">
        <v>31</v>
      </c>
      <c r="AA32">
        <v>2.3553274807363586E-3</v>
      </c>
      <c r="AC32" t="s">
        <v>33</v>
      </c>
      <c r="AD32" t="s">
        <v>33</v>
      </c>
      <c r="AE32" t="s">
        <v>41</v>
      </c>
      <c r="AF32">
        <v>1.9</v>
      </c>
      <c r="AG32">
        <v>1.9</v>
      </c>
      <c r="AH32" t="s">
        <v>244</v>
      </c>
      <c r="AI32" t="s">
        <v>244</v>
      </c>
      <c r="AJ32">
        <v>-1.7514624791993001E-3</v>
      </c>
      <c r="AK32">
        <v>0</v>
      </c>
      <c r="AL32">
        <v>1.7514624791993001E-3</v>
      </c>
      <c r="AM32" t="s">
        <v>41</v>
      </c>
      <c r="AN32" t="s">
        <v>33</v>
      </c>
      <c r="AO32" t="s">
        <v>33</v>
      </c>
      <c r="AP32" t="s">
        <v>31</v>
      </c>
    </row>
    <row r="33" spans="1:43" x14ac:dyDescent="0.2">
      <c r="A33">
        <v>31</v>
      </c>
      <c r="B33">
        <v>102</v>
      </c>
      <c r="C33">
        <v>6</v>
      </c>
      <c r="D33">
        <v>14500</v>
      </c>
      <c r="E33" t="s">
        <v>325</v>
      </c>
      <c r="F33" t="s">
        <v>29</v>
      </c>
      <c r="G33" t="s">
        <v>496</v>
      </c>
      <c r="H33">
        <v>3.5441272171448976E-2</v>
      </c>
      <c r="I33">
        <v>-9.3317246491009747E-6</v>
      </c>
      <c r="J33">
        <v>5.15</v>
      </c>
      <c r="K33">
        <v>5.1586310718697002</v>
      </c>
      <c r="L33" s="1">
        <v>45231</v>
      </c>
      <c r="M33" s="1">
        <v>43165</v>
      </c>
      <c r="N33" s="1">
        <v>43164</v>
      </c>
      <c r="R33">
        <v>-1.8407209487297778E-3</v>
      </c>
      <c r="S33">
        <v>-1.8407209487297778E-3</v>
      </c>
      <c r="T33" t="s">
        <v>32</v>
      </c>
      <c r="U33" t="s">
        <v>32</v>
      </c>
      <c r="V33">
        <v>429052667</v>
      </c>
      <c r="W33" t="s">
        <v>172</v>
      </c>
      <c r="X33" t="s">
        <v>327</v>
      </c>
      <c r="Y33">
        <v>14500</v>
      </c>
      <c r="Z33" t="s">
        <v>31</v>
      </c>
      <c r="AA33">
        <v>-6.8174886226642717E-3</v>
      </c>
      <c r="AB33">
        <v>108.49</v>
      </c>
      <c r="AC33" t="s">
        <v>33</v>
      </c>
      <c r="AD33" t="s">
        <v>33</v>
      </c>
      <c r="AE33" t="s">
        <v>41</v>
      </c>
      <c r="AF33">
        <v>8.371484913922328E-2</v>
      </c>
      <c r="AG33">
        <v>1.84</v>
      </c>
      <c r="AH33" t="s">
        <v>244</v>
      </c>
      <c r="AI33" t="s">
        <v>244</v>
      </c>
      <c r="AJ33">
        <v>5.069603111509377E-3</v>
      </c>
      <c r="AK33">
        <v>6.881800421640577E-3</v>
      </c>
      <c r="AL33">
        <v>1.8121973101312E-3</v>
      </c>
      <c r="AM33" t="s">
        <v>41</v>
      </c>
      <c r="AN33" t="s">
        <v>144</v>
      </c>
      <c r="AO33" t="s">
        <v>33</v>
      </c>
      <c r="AP33" t="s">
        <v>31</v>
      </c>
      <c r="AQ33">
        <v>5.7610888410388405E-4</v>
      </c>
    </row>
    <row r="34" spans="1:43" x14ac:dyDescent="0.2">
      <c r="A34">
        <v>32</v>
      </c>
      <c r="B34">
        <v>102</v>
      </c>
      <c r="C34">
        <v>6</v>
      </c>
      <c r="F34" t="s">
        <v>29</v>
      </c>
      <c r="G34" t="s">
        <v>497</v>
      </c>
      <c r="I34">
        <v>3.3467815414023967E-6</v>
      </c>
      <c r="J34">
        <v>5.9789684370581</v>
      </c>
      <c r="K34">
        <v>5.9789684370581</v>
      </c>
      <c r="L34" s="1"/>
      <c r="M34" s="1"/>
      <c r="N34" s="1">
        <v>43164</v>
      </c>
      <c r="R34">
        <v>-1.8407209487297778E-3</v>
      </c>
      <c r="S34">
        <v>-1.8407209487297778E-3</v>
      </c>
      <c r="T34" t="s">
        <v>32</v>
      </c>
      <c r="U34" t="s">
        <v>32</v>
      </c>
      <c r="AA34">
        <v>2.4450619728960611E-3</v>
      </c>
      <c r="AC34" t="s">
        <v>33</v>
      </c>
      <c r="AD34" t="s">
        <v>33</v>
      </c>
      <c r="AF34">
        <v>2</v>
      </c>
      <c r="AG34">
        <v>2</v>
      </c>
      <c r="AH34" t="s">
        <v>244</v>
      </c>
      <c r="AI34" t="s">
        <v>244</v>
      </c>
      <c r="AJ34">
        <v>-1.818190608257E-3</v>
      </c>
      <c r="AK34">
        <v>0</v>
      </c>
      <c r="AL34">
        <v>1.818190608257E-3</v>
      </c>
      <c r="AN34" t="s">
        <v>33</v>
      </c>
      <c r="AO34" t="s">
        <v>33</v>
      </c>
    </row>
    <row r="35" spans="1:43" x14ac:dyDescent="0.2">
      <c r="A35">
        <v>33</v>
      </c>
      <c r="B35">
        <v>102</v>
      </c>
      <c r="C35">
        <v>6</v>
      </c>
      <c r="F35" t="s">
        <v>29</v>
      </c>
      <c r="G35" t="s">
        <v>498</v>
      </c>
      <c r="I35">
        <v>4.9854608776236062E-6</v>
      </c>
      <c r="J35">
        <v>5.7360097216302002</v>
      </c>
      <c r="K35">
        <v>5.7360097216302002</v>
      </c>
      <c r="L35" s="1"/>
      <c r="M35" s="1"/>
      <c r="N35" s="1">
        <v>43164</v>
      </c>
      <c r="R35">
        <v>-1.8407209487297778E-3</v>
      </c>
      <c r="S35">
        <v>-1.8407209487297778E-3</v>
      </c>
      <c r="T35" t="s">
        <v>32</v>
      </c>
      <c r="U35" t="s">
        <v>32</v>
      </c>
      <c r="W35" t="s">
        <v>172</v>
      </c>
      <c r="Z35" t="s">
        <v>31</v>
      </c>
      <c r="AA35">
        <v>3.6422337874286973E-3</v>
      </c>
      <c r="AC35" t="s">
        <v>33</v>
      </c>
      <c r="AD35" t="s">
        <v>33</v>
      </c>
      <c r="AE35" t="s">
        <v>41</v>
      </c>
      <c r="AF35">
        <v>1.97</v>
      </c>
      <c r="AG35">
        <v>1.97</v>
      </c>
      <c r="AH35" t="s">
        <v>244</v>
      </c>
      <c r="AI35" t="s">
        <v>244</v>
      </c>
      <c r="AJ35">
        <v>-2.7084283910952999E-3</v>
      </c>
      <c r="AK35">
        <v>0</v>
      </c>
      <c r="AL35">
        <v>2.7084283910952999E-3</v>
      </c>
      <c r="AM35" t="s">
        <v>41</v>
      </c>
      <c r="AN35" t="s">
        <v>33</v>
      </c>
      <c r="AO35" t="s">
        <v>33</v>
      </c>
      <c r="AP35" t="s">
        <v>31</v>
      </c>
    </row>
    <row r="36" spans="1:43" x14ac:dyDescent="0.2">
      <c r="A36">
        <v>34</v>
      </c>
      <c r="B36">
        <v>102</v>
      </c>
      <c r="C36">
        <v>6</v>
      </c>
      <c r="D36">
        <v>20000</v>
      </c>
      <c r="E36" t="s">
        <v>325</v>
      </c>
      <c r="F36" t="s">
        <v>29</v>
      </c>
      <c r="G36" t="s">
        <v>499</v>
      </c>
      <c r="H36">
        <v>6.2166477788245647E-2</v>
      </c>
      <c r="I36">
        <v>-1.749711589809911E-5</v>
      </c>
      <c r="J36">
        <v>6.54</v>
      </c>
      <c r="L36" s="1">
        <v>45839</v>
      </c>
      <c r="M36" s="1">
        <v>43165</v>
      </c>
      <c r="N36" s="1"/>
      <c r="R36">
        <v>-1.8407209487297778E-3</v>
      </c>
      <c r="T36" t="s">
        <v>32</v>
      </c>
      <c r="V36">
        <v>592634658</v>
      </c>
      <c r="W36" t="s">
        <v>172</v>
      </c>
      <c r="X36" t="s">
        <v>327</v>
      </c>
      <c r="Y36">
        <v>20000</v>
      </c>
      <c r="Z36" t="s">
        <v>31</v>
      </c>
      <c r="AA36">
        <v>-1.2782887735143468E-2</v>
      </c>
      <c r="AB36">
        <v>109.27</v>
      </c>
      <c r="AC36" t="s">
        <v>33</v>
      </c>
      <c r="AE36" t="s">
        <v>41</v>
      </c>
      <c r="AF36">
        <v>8.601484913922329E-2</v>
      </c>
      <c r="AH36" t="s">
        <v>244</v>
      </c>
      <c r="AJ36">
        <v>9.5055776434626368E-3</v>
      </c>
      <c r="AK36">
        <v>9.5055776434626368E-3</v>
      </c>
      <c r="AL36">
        <v>0</v>
      </c>
      <c r="AN36" t="s">
        <v>144</v>
      </c>
      <c r="AQ36">
        <v>8.1762082698361236E-4</v>
      </c>
    </row>
    <row r="37" spans="1:43" x14ac:dyDescent="0.2">
      <c r="A37">
        <v>35</v>
      </c>
      <c r="B37">
        <v>102</v>
      </c>
      <c r="C37">
        <v>6</v>
      </c>
      <c r="F37" t="s">
        <v>29</v>
      </c>
      <c r="G37" t="s">
        <v>500</v>
      </c>
      <c r="I37">
        <v>4.8829940891282049E-6</v>
      </c>
      <c r="J37">
        <v>7.2073470040640997</v>
      </c>
      <c r="K37">
        <v>7.2073470040640997</v>
      </c>
      <c r="L37" s="1"/>
      <c r="M37" s="1"/>
      <c r="N37" s="1">
        <v>43164</v>
      </c>
      <c r="R37">
        <v>-1.8407209487297778E-3</v>
      </c>
      <c r="S37">
        <v>-1.8407209487297778E-3</v>
      </c>
      <c r="T37" t="s">
        <v>32</v>
      </c>
      <c r="U37" t="s">
        <v>32</v>
      </c>
      <c r="AA37">
        <v>3.5673745099600199E-3</v>
      </c>
      <c r="AC37" t="s">
        <v>33</v>
      </c>
      <c r="AD37" t="s">
        <v>33</v>
      </c>
      <c r="AF37">
        <v>2.17</v>
      </c>
      <c r="AG37">
        <v>2.17</v>
      </c>
      <c r="AH37" t="s">
        <v>244</v>
      </c>
      <c r="AI37" t="s">
        <v>244</v>
      </c>
      <c r="AJ37">
        <v>-2.6527617303958003E-3</v>
      </c>
      <c r="AK37">
        <v>0</v>
      </c>
      <c r="AL37">
        <v>2.6527617303958003E-3</v>
      </c>
      <c r="AN37" t="s">
        <v>33</v>
      </c>
      <c r="AO37" t="s">
        <v>33</v>
      </c>
    </row>
    <row r="38" spans="1:43" x14ac:dyDescent="0.2">
      <c r="A38">
        <v>36</v>
      </c>
      <c r="B38">
        <v>93</v>
      </c>
      <c r="C38">
        <v>6</v>
      </c>
      <c r="D38">
        <v>3500</v>
      </c>
      <c r="E38" t="s">
        <v>325</v>
      </c>
      <c r="F38" t="s">
        <v>29</v>
      </c>
      <c r="G38" t="s">
        <v>328</v>
      </c>
      <c r="H38">
        <v>1.381063942513696E-4</v>
      </c>
      <c r="I38">
        <v>5.7924848611727152E-6</v>
      </c>
      <c r="J38">
        <v>0.09</v>
      </c>
      <c r="K38">
        <v>9.5890410958903993E-2</v>
      </c>
      <c r="L38" s="1">
        <v>43199</v>
      </c>
      <c r="M38" s="1">
        <v>43165</v>
      </c>
      <c r="N38" s="1">
        <v>43164</v>
      </c>
      <c r="R38">
        <v>-2.1922679503766566E-3</v>
      </c>
      <c r="S38">
        <v>-2.1922679503766566E-3</v>
      </c>
      <c r="T38" t="s">
        <v>32</v>
      </c>
      <c r="U38" t="s">
        <v>32</v>
      </c>
      <c r="V38">
        <v>95670889</v>
      </c>
      <c r="W38" t="s">
        <v>172</v>
      </c>
      <c r="X38" t="s">
        <v>327</v>
      </c>
      <c r="Y38">
        <v>3500</v>
      </c>
      <c r="Z38" t="s">
        <v>31</v>
      </c>
      <c r="AA38">
        <v>4.2318222111069831E-3</v>
      </c>
      <c r="AB38">
        <v>100.21</v>
      </c>
      <c r="AC38" t="s">
        <v>33</v>
      </c>
      <c r="AD38" t="s">
        <v>33</v>
      </c>
      <c r="AE38" t="s">
        <v>41</v>
      </c>
      <c r="AF38">
        <v>7.2414849139223289E-2</v>
      </c>
      <c r="AG38">
        <v>0.52</v>
      </c>
      <c r="AH38" t="s">
        <v>244</v>
      </c>
      <c r="AI38" t="s">
        <v>244</v>
      </c>
      <c r="AJ38">
        <v>-2.642233975175115E-3</v>
      </c>
      <c r="AK38">
        <v>1.5345154916818844E-3</v>
      </c>
      <c r="AL38">
        <v>4.1767494668569997E-3</v>
      </c>
      <c r="AM38" t="s">
        <v>41</v>
      </c>
      <c r="AN38" t="s">
        <v>144</v>
      </c>
      <c r="AO38" t="s">
        <v>33</v>
      </c>
      <c r="AP38" t="s">
        <v>31</v>
      </c>
      <c r="AQ38">
        <v>1.111217078319447E-4</v>
      </c>
    </row>
    <row r="39" spans="1:43" x14ac:dyDescent="0.2">
      <c r="A39">
        <v>37</v>
      </c>
      <c r="B39">
        <v>96</v>
      </c>
      <c r="C39">
        <v>6</v>
      </c>
      <c r="D39">
        <v>10000</v>
      </c>
      <c r="E39" t="s">
        <v>325</v>
      </c>
      <c r="F39" t="s">
        <v>29</v>
      </c>
      <c r="G39" t="s">
        <v>501</v>
      </c>
      <c r="H39">
        <v>7.2340888332202459E-3</v>
      </c>
      <c r="I39">
        <v>1.554360157120138E-6</v>
      </c>
      <c r="J39">
        <v>1.61</v>
      </c>
      <c r="K39">
        <v>1.6174108036149999</v>
      </c>
      <c r="L39" s="1">
        <v>43770</v>
      </c>
      <c r="M39" s="1">
        <v>43165</v>
      </c>
      <c r="N39" s="1">
        <v>43164</v>
      </c>
      <c r="R39">
        <v>-2.4313878536657216E-3</v>
      </c>
      <c r="S39">
        <v>-2.4313878536657216E-3</v>
      </c>
      <c r="T39" t="s">
        <v>32</v>
      </c>
      <c r="U39" t="s">
        <v>32</v>
      </c>
      <c r="V39">
        <v>280134433</v>
      </c>
      <c r="W39" t="s">
        <v>172</v>
      </c>
      <c r="X39" t="s">
        <v>327</v>
      </c>
      <c r="Y39">
        <v>10000</v>
      </c>
      <c r="Z39" t="s">
        <v>31</v>
      </c>
      <c r="AA39">
        <v>1.135570656567765E-3</v>
      </c>
      <c r="AB39">
        <v>102.88</v>
      </c>
      <c r="AC39" t="s">
        <v>33</v>
      </c>
      <c r="AD39" t="s">
        <v>33</v>
      </c>
      <c r="AE39" t="s">
        <v>41</v>
      </c>
      <c r="AF39">
        <v>7.7014849139223282E-2</v>
      </c>
      <c r="AG39">
        <v>1.24</v>
      </c>
      <c r="AH39" t="s">
        <v>244</v>
      </c>
      <c r="AI39" t="s">
        <v>244</v>
      </c>
      <c r="AJ39">
        <v>-6.3928926632444982E-4</v>
      </c>
      <c r="AK39">
        <v>4.4932228777765501E-3</v>
      </c>
      <c r="AL39">
        <v>5.1325121441009999E-3</v>
      </c>
      <c r="AM39" t="s">
        <v>41</v>
      </c>
      <c r="AN39" t="s">
        <v>144</v>
      </c>
      <c r="AO39" t="s">
        <v>33</v>
      </c>
      <c r="AP39" t="s">
        <v>31</v>
      </c>
      <c r="AQ39">
        <v>3.4604488208086771E-4</v>
      </c>
    </row>
    <row r="40" spans="1:43" x14ac:dyDescent="0.2">
      <c r="A40">
        <v>38</v>
      </c>
      <c r="B40">
        <v>96</v>
      </c>
      <c r="C40">
        <v>6</v>
      </c>
      <c r="F40" t="s">
        <v>29</v>
      </c>
      <c r="G40" t="s">
        <v>502</v>
      </c>
      <c r="I40">
        <v>1.259318716486108E-5</v>
      </c>
      <c r="J40">
        <v>2.0882841127648999</v>
      </c>
      <c r="K40">
        <v>2.0882841127648999</v>
      </c>
      <c r="L40" s="1"/>
      <c r="M40" s="1"/>
      <c r="N40" s="1">
        <v>43164</v>
      </c>
      <c r="R40">
        <v>-2.4313878536657216E-3</v>
      </c>
      <c r="S40">
        <v>-2.4313878536657216E-3</v>
      </c>
      <c r="T40" t="s">
        <v>32</v>
      </c>
      <c r="U40" t="s">
        <v>32</v>
      </c>
      <c r="W40" t="s">
        <v>172</v>
      </c>
      <c r="Z40" t="s">
        <v>31</v>
      </c>
      <c r="AA40">
        <v>9.2002189785779179E-3</v>
      </c>
      <c r="AC40" t="s">
        <v>33</v>
      </c>
      <c r="AD40" t="s">
        <v>33</v>
      </c>
      <c r="AE40" t="s">
        <v>41</v>
      </c>
      <c r="AF40">
        <v>1.3</v>
      </c>
      <c r="AG40">
        <v>1.3</v>
      </c>
      <c r="AH40" t="s">
        <v>244</v>
      </c>
      <c r="AI40" t="s">
        <v>244</v>
      </c>
      <c r="AJ40">
        <v>-5.1794234086818998E-3</v>
      </c>
      <c r="AK40">
        <v>0</v>
      </c>
      <c r="AL40">
        <v>5.1794234086818998E-3</v>
      </c>
      <c r="AM40" t="s">
        <v>41</v>
      </c>
      <c r="AN40" t="s">
        <v>33</v>
      </c>
      <c r="AO40" t="s">
        <v>33</v>
      </c>
      <c r="AP40" t="s">
        <v>31</v>
      </c>
    </row>
    <row r="41" spans="1:43" x14ac:dyDescent="0.2">
      <c r="A41">
        <v>39</v>
      </c>
      <c r="B41">
        <v>99</v>
      </c>
      <c r="C41">
        <v>6</v>
      </c>
      <c r="F41" t="s">
        <v>29</v>
      </c>
      <c r="G41" t="s">
        <v>503</v>
      </c>
      <c r="I41">
        <v>6.2890445550171848E-6</v>
      </c>
      <c r="J41">
        <v>3.1798928791624999</v>
      </c>
      <c r="K41">
        <v>3.1798928791624999</v>
      </c>
      <c r="L41" s="1"/>
      <c r="M41" s="1"/>
      <c r="N41" s="1">
        <v>43164</v>
      </c>
      <c r="R41">
        <v>-2.4229989783995497E-3</v>
      </c>
      <c r="S41">
        <v>-2.4229989783995497E-3</v>
      </c>
      <c r="T41" t="s">
        <v>32</v>
      </c>
      <c r="U41" t="s">
        <v>32</v>
      </c>
      <c r="W41" t="s">
        <v>172</v>
      </c>
      <c r="Z41" t="s">
        <v>31</v>
      </c>
      <c r="AA41">
        <v>4.5945943878004381E-3</v>
      </c>
      <c r="AC41" t="s">
        <v>33</v>
      </c>
      <c r="AD41" t="s">
        <v>33</v>
      </c>
      <c r="AE41" t="s">
        <v>41</v>
      </c>
      <c r="AF41">
        <v>1.58</v>
      </c>
      <c r="AG41">
        <v>1.58</v>
      </c>
      <c r="AH41" t="s">
        <v>244</v>
      </c>
      <c r="AI41" t="s">
        <v>244</v>
      </c>
      <c r="AJ41">
        <v>-2.5955621983676002E-3</v>
      </c>
      <c r="AK41">
        <v>0</v>
      </c>
      <c r="AL41">
        <v>2.5955621983676002E-3</v>
      </c>
      <c r="AM41" t="s">
        <v>41</v>
      </c>
      <c r="AN41" t="s">
        <v>33</v>
      </c>
      <c r="AO41" t="s">
        <v>33</v>
      </c>
      <c r="AP41" t="s">
        <v>31</v>
      </c>
    </row>
    <row r="42" spans="1:43" x14ac:dyDescent="0.2">
      <c r="A42">
        <v>40</v>
      </c>
      <c r="B42">
        <v>99</v>
      </c>
      <c r="C42">
        <v>6</v>
      </c>
      <c r="F42" t="s">
        <v>29</v>
      </c>
      <c r="G42" t="s">
        <v>504</v>
      </c>
      <c r="I42">
        <v>4.229436604465802E-6</v>
      </c>
      <c r="J42">
        <v>4.0187494601790998</v>
      </c>
      <c r="K42">
        <v>4.0187494601790998</v>
      </c>
      <c r="L42" s="1"/>
      <c r="M42" s="1"/>
      <c r="N42" s="1">
        <v>43164</v>
      </c>
      <c r="R42">
        <v>-2.4229989783995497E-3</v>
      </c>
      <c r="S42">
        <v>-2.4229989783995497E-3</v>
      </c>
      <c r="T42" t="s">
        <v>32</v>
      </c>
      <c r="U42" t="s">
        <v>32</v>
      </c>
      <c r="AA42">
        <v>3.0899042798056969E-3</v>
      </c>
      <c r="AC42" t="s">
        <v>33</v>
      </c>
      <c r="AD42" t="s">
        <v>33</v>
      </c>
      <c r="AF42">
        <v>1.7</v>
      </c>
      <c r="AG42">
        <v>1.7</v>
      </c>
      <c r="AH42" t="s">
        <v>244</v>
      </c>
      <c r="AI42" t="s">
        <v>244</v>
      </c>
      <c r="AJ42">
        <v>-1.7455379231152001E-3</v>
      </c>
      <c r="AK42">
        <v>0</v>
      </c>
      <c r="AL42">
        <v>1.7455379231152001E-3</v>
      </c>
      <c r="AN42" t="s">
        <v>33</v>
      </c>
      <c r="AO42" t="s">
        <v>33</v>
      </c>
    </row>
    <row r="43" spans="1:43" x14ac:dyDescent="0.2">
      <c r="A43">
        <v>41</v>
      </c>
      <c r="B43">
        <v>99</v>
      </c>
      <c r="C43">
        <v>6</v>
      </c>
      <c r="F43" t="s">
        <v>29</v>
      </c>
      <c r="G43" t="s">
        <v>505</v>
      </c>
      <c r="I43">
        <v>6.3646633923033958E-6</v>
      </c>
      <c r="J43">
        <v>3.8517526668606998</v>
      </c>
      <c r="K43">
        <v>3.8517526668606998</v>
      </c>
      <c r="L43" s="1"/>
      <c r="M43" s="1"/>
      <c r="N43" s="1">
        <v>43164</v>
      </c>
      <c r="R43">
        <v>-2.4229989783995497E-3</v>
      </c>
      <c r="S43">
        <v>-2.4229989783995497E-3</v>
      </c>
      <c r="T43" t="s">
        <v>32</v>
      </c>
      <c r="U43" t="s">
        <v>32</v>
      </c>
      <c r="AA43">
        <v>4.6498393272133799E-3</v>
      </c>
      <c r="AC43" t="s">
        <v>33</v>
      </c>
      <c r="AD43" t="s">
        <v>33</v>
      </c>
      <c r="AF43">
        <v>1.68</v>
      </c>
      <c r="AG43">
        <v>1.68</v>
      </c>
      <c r="AH43" t="s">
        <v>244</v>
      </c>
      <c r="AI43" t="s">
        <v>244</v>
      </c>
      <c r="AJ43">
        <v>-2.6267709763986001E-3</v>
      </c>
      <c r="AK43">
        <v>0</v>
      </c>
      <c r="AL43">
        <v>2.6267709763986001E-3</v>
      </c>
      <c r="AN43" t="s">
        <v>33</v>
      </c>
      <c r="AO43" t="s">
        <v>33</v>
      </c>
    </row>
    <row r="44" spans="1:43" x14ac:dyDescent="0.2">
      <c r="A44">
        <v>42</v>
      </c>
      <c r="B44">
        <v>99</v>
      </c>
      <c r="C44">
        <v>6</v>
      </c>
      <c r="F44" t="s">
        <v>29</v>
      </c>
      <c r="G44" t="s">
        <v>506</v>
      </c>
      <c r="I44">
        <v>6.3979605817972846E-6</v>
      </c>
      <c r="J44">
        <v>4.2935743557892003</v>
      </c>
      <c r="K44">
        <v>4.2935743557892003</v>
      </c>
      <c r="L44" s="1"/>
      <c r="M44" s="1"/>
      <c r="N44" s="1">
        <v>43164</v>
      </c>
      <c r="R44">
        <v>-2.4229989783995497E-3</v>
      </c>
      <c r="S44">
        <v>-2.4229989783995497E-3</v>
      </c>
      <c r="T44" t="s">
        <v>32</v>
      </c>
      <c r="U44" t="s">
        <v>32</v>
      </c>
      <c r="AA44">
        <v>4.674165292571043E-3</v>
      </c>
      <c r="AC44" t="s">
        <v>33</v>
      </c>
      <c r="AD44" t="s">
        <v>33</v>
      </c>
      <c r="AF44">
        <v>1.71</v>
      </c>
      <c r="AG44">
        <v>1.71</v>
      </c>
      <c r="AH44" t="s">
        <v>244</v>
      </c>
      <c r="AI44" t="s">
        <v>244</v>
      </c>
      <c r="AJ44">
        <v>-2.6405131157022999E-3</v>
      </c>
      <c r="AK44">
        <v>0</v>
      </c>
      <c r="AL44">
        <v>2.6405131157022999E-3</v>
      </c>
      <c r="AN44" t="s">
        <v>33</v>
      </c>
      <c r="AO44" t="s">
        <v>33</v>
      </c>
    </row>
    <row r="45" spans="1:43" x14ac:dyDescent="0.2">
      <c r="A45">
        <v>43</v>
      </c>
      <c r="B45">
        <v>102</v>
      </c>
      <c r="C45">
        <v>6</v>
      </c>
      <c r="F45" t="s">
        <v>29</v>
      </c>
      <c r="G45" t="s">
        <v>507</v>
      </c>
      <c r="I45">
        <v>4.880228167890892E-6</v>
      </c>
      <c r="J45">
        <v>7.6009465839725001</v>
      </c>
      <c r="K45">
        <v>7.6009465839725001</v>
      </c>
      <c r="L45" s="1"/>
      <c r="M45" s="1"/>
      <c r="N45" s="1">
        <v>43164</v>
      </c>
      <c r="R45">
        <v>-1.8407209487297778E-3</v>
      </c>
      <c r="S45">
        <v>-1.8407209487297778E-3</v>
      </c>
      <c r="T45" t="s">
        <v>32</v>
      </c>
      <c r="U45" t="s">
        <v>32</v>
      </c>
      <c r="AA45">
        <v>3.5653538077559119E-3</v>
      </c>
      <c r="AC45" t="s">
        <v>33</v>
      </c>
      <c r="AD45" t="s">
        <v>33</v>
      </c>
      <c r="AF45">
        <v>2.2200000000000002</v>
      </c>
      <c r="AG45">
        <v>2.2200000000000002</v>
      </c>
      <c r="AH45" t="s">
        <v>244</v>
      </c>
      <c r="AI45" t="s">
        <v>244</v>
      </c>
      <c r="AJ45">
        <v>-2.6512591010921997E-3</v>
      </c>
      <c r="AK45">
        <v>0</v>
      </c>
      <c r="AL45">
        <v>2.6512591010921997E-3</v>
      </c>
      <c r="AN45" t="s">
        <v>33</v>
      </c>
      <c r="AO45" t="s">
        <v>33</v>
      </c>
    </row>
    <row r="46" spans="1:43" x14ac:dyDescent="0.2">
      <c r="A46">
        <v>44</v>
      </c>
      <c r="B46">
        <v>104</v>
      </c>
      <c r="C46">
        <v>6</v>
      </c>
      <c r="F46" t="s">
        <v>29</v>
      </c>
      <c r="G46" t="s">
        <v>508</v>
      </c>
      <c r="I46">
        <v>-1.5313702932084145E-7</v>
      </c>
      <c r="J46">
        <v>0.81310401131717003</v>
      </c>
      <c r="K46">
        <v>0.81310401131717003</v>
      </c>
      <c r="L46" s="1"/>
      <c r="M46" s="1"/>
      <c r="N46" s="1">
        <v>43164</v>
      </c>
      <c r="R46">
        <v>4.8543139737796264E-5</v>
      </c>
      <c r="S46">
        <v>4.8543139737796264E-5</v>
      </c>
      <c r="T46" t="s">
        <v>39</v>
      </c>
      <c r="U46" t="s">
        <v>39</v>
      </c>
      <c r="W46" t="s">
        <v>172</v>
      </c>
      <c r="Z46" t="s">
        <v>31</v>
      </c>
      <c r="AA46">
        <v>-1.1187749257089602E-4</v>
      </c>
      <c r="AC46" t="s">
        <v>33</v>
      </c>
      <c r="AD46" t="s">
        <v>33</v>
      </c>
      <c r="AE46" t="s">
        <v>41</v>
      </c>
      <c r="AF46">
        <v>3.25</v>
      </c>
      <c r="AG46">
        <v>3.25</v>
      </c>
      <c r="AH46" t="s">
        <v>244</v>
      </c>
      <c r="AI46" t="s">
        <v>244</v>
      </c>
      <c r="AJ46">
        <v>-3.1546585191646998E-3</v>
      </c>
      <c r="AK46">
        <v>0</v>
      </c>
      <c r="AL46">
        <v>3.1546585191646998E-3</v>
      </c>
      <c r="AM46" t="s">
        <v>41</v>
      </c>
      <c r="AN46" t="s">
        <v>33</v>
      </c>
      <c r="AO46" t="s">
        <v>33</v>
      </c>
      <c r="AP46" t="s">
        <v>31</v>
      </c>
    </row>
    <row r="47" spans="1:43" x14ac:dyDescent="0.2">
      <c r="A47">
        <v>45</v>
      </c>
      <c r="B47">
        <v>107</v>
      </c>
      <c r="C47">
        <v>6</v>
      </c>
      <c r="F47" t="s">
        <v>29</v>
      </c>
      <c r="G47" t="s">
        <v>421</v>
      </c>
      <c r="I47">
        <v>4.3143102381626437E-7</v>
      </c>
      <c r="J47">
        <v>1.7445339502279</v>
      </c>
      <c r="K47">
        <v>1.7445339502279</v>
      </c>
      <c r="L47" s="1"/>
      <c r="M47" s="1"/>
      <c r="N47" s="1">
        <v>43164</v>
      </c>
      <c r="R47">
        <v>-2.0737663149124656E-4</v>
      </c>
      <c r="S47">
        <v>-2.0737663149124656E-4</v>
      </c>
      <c r="T47" t="s">
        <v>39</v>
      </c>
      <c r="U47" t="s">
        <v>39</v>
      </c>
      <c r="W47" t="s">
        <v>172</v>
      </c>
      <c r="Z47" t="s">
        <v>31</v>
      </c>
      <c r="AA47">
        <v>3.1519105062911877E-4</v>
      </c>
      <c r="AC47" t="s">
        <v>33</v>
      </c>
      <c r="AD47" t="s">
        <v>33</v>
      </c>
      <c r="AE47" t="s">
        <v>41</v>
      </c>
      <c r="AF47">
        <v>3.84</v>
      </c>
      <c r="AG47">
        <v>3.84</v>
      </c>
      <c r="AH47" t="s">
        <v>244</v>
      </c>
      <c r="AI47" t="s">
        <v>244</v>
      </c>
      <c r="AJ47">
        <v>-2.0804225660039002E-3</v>
      </c>
      <c r="AK47">
        <v>0</v>
      </c>
      <c r="AL47">
        <v>2.0804225660039002E-3</v>
      </c>
      <c r="AM47" t="s">
        <v>41</v>
      </c>
      <c r="AN47" t="s">
        <v>33</v>
      </c>
      <c r="AO47" t="s">
        <v>33</v>
      </c>
      <c r="AP47" t="s">
        <v>31</v>
      </c>
    </row>
    <row r="48" spans="1:43" x14ac:dyDescent="0.2">
      <c r="A48">
        <v>46</v>
      </c>
      <c r="B48">
        <v>107</v>
      </c>
      <c r="C48">
        <v>6</v>
      </c>
      <c r="F48" t="s">
        <v>29</v>
      </c>
      <c r="G48" t="s">
        <v>509</v>
      </c>
      <c r="I48">
        <v>3.3603219779956369E-7</v>
      </c>
      <c r="J48">
        <v>2.7541431463608999</v>
      </c>
      <c r="K48">
        <v>2.7541431463608999</v>
      </c>
      <c r="L48" s="1"/>
      <c r="M48" s="1"/>
      <c r="N48" s="1">
        <v>43164</v>
      </c>
      <c r="R48">
        <v>-2.0737663149124656E-4</v>
      </c>
      <c r="S48">
        <v>-2.0737663149124656E-4</v>
      </c>
      <c r="T48" t="s">
        <v>39</v>
      </c>
      <c r="U48" t="s">
        <v>39</v>
      </c>
      <c r="AA48">
        <v>2.4549542249600154E-4</v>
      </c>
      <c r="AC48" t="s">
        <v>33</v>
      </c>
      <c r="AD48" t="s">
        <v>33</v>
      </c>
      <c r="AF48">
        <v>4.28</v>
      </c>
      <c r="AG48">
        <v>4.28</v>
      </c>
      <c r="AH48" t="s">
        <v>244</v>
      </c>
      <c r="AI48" t="s">
        <v>244</v>
      </c>
      <c r="AJ48">
        <v>-1.6203956799913E-3</v>
      </c>
      <c r="AK48">
        <v>0</v>
      </c>
      <c r="AL48">
        <v>1.6203956799913E-3</v>
      </c>
      <c r="AN48" t="s">
        <v>33</v>
      </c>
      <c r="AO48" t="s">
        <v>33</v>
      </c>
    </row>
    <row r="49" spans="1:43" x14ac:dyDescent="0.2">
      <c r="A49">
        <v>47</v>
      </c>
      <c r="B49">
        <v>110</v>
      </c>
      <c r="C49">
        <v>6</v>
      </c>
      <c r="F49" t="s">
        <v>29</v>
      </c>
      <c r="G49" t="s">
        <v>510</v>
      </c>
      <c r="I49">
        <v>-1.4509809111624978E-6</v>
      </c>
      <c r="J49">
        <v>3.1740637296838998</v>
      </c>
      <c r="K49">
        <v>3.1740637296838998</v>
      </c>
      <c r="L49" s="1"/>
      <c r="M49" s="1"/>
      <c r="N49" s="1">
        <v>43164</v>
      </c>
      <c r="R49">
        <v>8.9476952919579559E-4</v>
      </c>
      <c r="S49">
        <v>8.9476952919579559E-4</v>
      </c>
      <c r="T49" t="s">
        <v>39</v>
      </c>
      <c r="U49" t="s">
        <v>39</v>
      </c>
      <c r="AA49">
        <v>-1.0600447640197329E-3</v>
      </c>
      <c r="AC49" t="s">
        <v>33</v>
      </c>
      <c r="AD49" t="s">
        <v>33</v>
      </c>
      <c r="AF49">
        <v>4.41</v>
      </c>
      <c r="AG49">
        <v>4.41</v>
      </c>
      <c r="AH49" t="s">
        <v>244</v>
      </c>
      <c r="AI49" t="s">
        <v>244</v>
      </c>
      <c r="AJ49">
        <v>-1.6216253055315998E-3</v>
      </c>
      <c r="AK49">
        <v>0</v>
      </c>
      <c r="AL49">
        <v>1.6216253055315998E-3</v>
      </c>
      <c r="AN49" t="s">
        <v>33</v>
      </c>
      <c r="AO49" t="s">
        <v>33</v>
      </c>
    </row>
    <row r="50" spans="1:43" x14ac:dyDescent="0.2">
      <c r="A50">
        <v>48</v>
      </c>
      <c r="B50">
        <v>98</v>
      </c>
      <c r="C50">
        <v>6</v>
      </c>
      <c r="F50" t="s">
        <v>29</v>
      </c>
      <c r="G50" t="s">
        <v>511</v>
      </c>
      <c r="I50">
        <v>1.1321641580673924E-5</v>
      </c>
      <c r="J50">
        <v>3.9038157832753</v>
      </c>
      <c r="K50">
        <v>3.9038157832753</v>
      </c>
      <c r="L50" s="1"/>
      <c r="M50" s="1"/>
      <c r="N50" s="1">
        <v>43164</v>
      </c>
      <c r="R50">
        <v>-4.4913223753632802E-3</v>
      </c>
      <c r="S50">
        <v>-4.4913223753632802E-3</v>
      </c>
      <c r="T50" t="s">
        <v>32</v>
      </c>
      <c r="U50" t="s">
        <v>32</v>
      </c>
      <c r="W50" t="s">
        <v>197</v>
      </c>
      <c r="Z50" t="s">
        <v>31</v>
      </c>
      <c r="AA50">
        <v>8.2712644841662041E-3</v>
      </c>
      <c r="AC50" t="s">
        <v>42</v>
      </c>
      <c r="AD50" t="s">
        <v>42</v>
      </c>
      <c r="AE50" t="s">
        <v>41</v>
      </c>
      <c r="AF50">
        <v>1.72</v>
      </c>
      <c r="AG50">
        <v>1.72</v>
      </c>
      <c r="AH50" t="s">
        <v>244</v>
      </c>
      <c r="AI50" t="s">
        <v>244</v>
      </c>
      <c r="AJ50">
        <v>-2.5207813277393996E-3</v>
      </c>
      <c r="AK50">
        <v>0</v>
      </c>
      <c r="AL50">
        <v>2.5207813277393996E-3</v>
      </c>
      <c r="AM50" t="s">
        <v>41</v>
      </c>
      <c r="AN50" t="s">
        <v>42</v>
      </c>
      <c r="AO50" t="s">
        <v>42</v>
      </c>
      <c r="AP50" t="s">
        <v>31</v>
      </c>
    </row>
    <row r="51" spans="1:43" x14ac:dyDescent="0.2">
      <c r="A51">
        <v>49</v>
      </c>
      <c r="B51">
        <v>93</v>
      </c>
      <c r="C51">
        <v>6</v>
      </c>
      <c r="D51">
        <v>5000</v>
      </c>
      <c r="E51" t="s">
        <v>403</v>
      </c>
      <c r="F51" t="s">
        <v>29</v>
      </c>
      <c r="G51" t="s">
        <v>512</v>
      </c>
      <c r="H51">
        <v>6.894747605370238E-4</v>
      </c>
      <c r="I51">
        <v>1.3285382136598685E-5</v>
      </c>
      <c r="J51">
        <v>0.32</v>
      </c>
      <c r="K51">
        <v>0.32328767123287999</v>
      </c>
      <c r="L51" s="1">
        <v>43282</v>
      </c>
      <c r="M51" s="1">
        <v>43165</v>
      </c>
      <c r="N51" s="1">
        <v>43164</v>
      </c>
      <c r="R51">
        <v>-2.1922679503766566E-3</v>
      </c>
      <c r="S51">
        <v>-2.293432873749072E-3</v>
      </c>
      <c r="T51" t="s">
        <v>32</v>
      </c>
      <c r="U51" t="s">
        <v>32</v>
      </c>
      <c r="V51">
        <v>134331210</v>
      </c>
      <c r="W51" t="s">
        <v>197</v>
      </c>
      <c r="X51" t="s">
        <v>405</v>
      </c>
      <c r="Y51">
        <v>5000</v>
      </c>
      <c r="Z51" t="s">
        <v>31</v>
      </c>
      <c r="AA51">
        <v>9.7059166413289485E-3</v>
      </c>
      <c r="AB51">
        <v>99.68</v>
      </c>
      <c r="AC51" t="s">
        <v>36</v>
      </c>
      <c r="AD51" t="s">
        <v>42</v>
      </c>
      <c r="AE51" t="s">
        <v>41</v>
      </c>
      <c r="AF51">
        <v>7.501484913922328E-2</v>
      </c>
      <c r="AG51">
        <v>0.95</v>
      </c>
      <c r="AH51" t="s">
        <v>244</v>
      </c>
      <c r="AI51" t="s">
        <v>244</v>
      </c>
      <c r="AJ51">
        <v>-6.0601087263608012E-3</v>
      </c>
      <c r="AK51">
        <v>2.1546086266781995E-3</v>
      </c>
      <c r="AL51">
        <v>8.2147173530390007E-3</v>
      </c>
      <c r="AM51" t="s">
        <v>41</v>
      </c>
      <c r="AN51" t="s">
        <v>146</v>
      </c>
      <c r="AO51" t="s">
        <v>42</v>
      </c>
      <c r="AP51" t="s">
        <v>31</v>
      </c>
      <c r="AQ51">
        <v>1.6162764108433418E-4</v>
      </c>
    </row>
    <row r="52" spans="1:43" x14ac:dyDescent="0.2">
      <c r="A52">
        <v>50</v>
      </c>
      <c r="B52">
        <v>106</v>
      </c>
      <c r="C52">
        <v>6</v>
      </c>
      <c r="F52" t="s">
        <v>29</v>
      </c>
      <c r="G52" t="s">
        <v>416</v>
      </c>
      <c r="I52">
        <v>-1.9713921231075438E-5</v>
      </c>
      <c r="J52">
        <v>1.6022639180017999</v>
      </c>
      <c r="K52">
        <v>1.6022639180017999</v>
      </c>
      <c r="L52" s="1"/>
      <c r="M52" s="1"/>
      <c r="N52" s="1">
        <v>43164</v>
      </c>
      <c r="R52">
        <v>1.2658285781207894E-3</v>
      </c>
      <c r="S52">
        <v>1.2658285781207894E-3</v>
      </c>
      <c r="T52" t="s">
        <v>39</v>
      </c>
      <c r="U52" t="s">
        <v>39</v>
      </c>
      <c r="W52" t="s">
        <v>197</v>
      </c>
      <c r="Z52" t="s">
        <v>31</v>
      </c>
      <c r="AA52">
        <v>-1.4402421712464971E-2</v>
      </c>
      <c r="AC52" t="s">
        <v>42</v>
      </c>
      <c r="AD52" t="s">
        <v>42</v>
      </c>
      <c r="AE52" t="s">
        <v>41</v>
      </c>
      <c r="AF52">
        <v>3.7</v>
      </c>
      <c r="AG52">
        <v>3.7</v>
      </c>
      <c r="AH52" t="s">
        <v>244</v>
      </c>
      <c r="AI52" t="s">
        <v>244</v>
      </c>
      <c r="AJ52">
        <v>-1.5573926495120001E-2</v>
      </c>
      <c r="AK52">
        <v>0</v>
      </c>
      <c r="AL52">
        <v>1.5573926495120001E-2</v>
      </c>
      <c r="AM52" t="s">
        <v>41</v>
      </c>
      <c r="AN52" t="s">
        <v>42</v>
      </c>
      <c r="AO52" t="s">
        <v>42</v>
      </c>
      <c r="AP52" t="s">
        <v>31</v>
      </c>
    </row>
    <row r="53" spans="1:43" x14ac:dyDescent="0.2">
      <c r="A53">
        <v>51</v>
      </c>
      <c r="B53">
        <v>98</v>
      </c>
      <c r="C53">
        <v>6</v>
      </c>
      <c r="F53" t="s">
        <v>29</v>
      </c>
      <c r="G53" t="s">
        <v>513</v>
      </c>
      <c r="I53">
        <v>1.1301411808408511E-5</v>
      </c>
      <c r="J53">
        <v>3.9862055507594998</v>
      </c>
      <c r="K53">
        <v>3.9862055507594998</v>
      </c>
      <c r="L53" s="1"/>
      <c r="M53" s="1"/>
      <c r="N53" s="1">
        <v>43164</v>
      </c>
      <c r="R53">
        <v>-4.4913223753632802E-3</v>
      </c>
      <c r="S53">
        <v>-4.4913223753632802E-3</v>
      </c>
      <c r="T53" t="s">
        <v>32</v>
      </c>
      <c r="U53" t="s">
        <v>32</v>
      </c>
      <c r="AA53">
        <v>8.2564851965806207E-3</v>
      </c>
      <c r="AC53" t="s">
        <v>42</v>
      </c>
      <c r="AD53" t="s">
        <v>42</v>
      </c>
      <c r="AF53">
        <v>1.7</v>
      </c>
      <c r="AG53">
        <v>1.7</v>
      </c>
      <c r="AH53" t="s">
        <v>244</v>
      </c>
      <c r="AI53" t="s">
        <v>244</v>
      </c>
      <c r="AJ53">
        <v>-2.5162771370858001E-3</v>
      </c>
      <c r="AK53">
        <v>0</v>
      </c>
      <c r="AL53">
        <v>2.5162771370858001E-3</v>
      </c>
      <c r="AN53" t="s">
        <v>42</v>
      </c>
      <c r="AO53" t="s">
        <v>42</v>
      </c>
    </row>
    <row r="54" spans="1:43" x14ac:dyDescent="0.2">
      <c r="A54">
        <v>52</v>
      </c>
      <c r="B54">
        <v>98</v>
      </c>
      <c r="C54">
        <v>6</v>
      </c>
      <c r="F54" t="s">
        <v>29</v>
      </c>
      <c r="G54" t="s">
        <v>514</v>
      </c>
      <c r="I54">
        <v>1.130365285709659E-5</v>
      </c>
      <c r="J54">
        <v>4.8964999808279002</v>
      </c>
      <c r="K54">
        <v>4.8964999808279002</v>
      </c>
      <c r="L54" s="1"/>
      <c r="M54" s="1"/>
      <c r="N54" s="1">
        <v>43164</v>
      </c>
      <c r="R54">
        <v>-4.4913223753632802E-3</v>
      </c>
      <c r="S54">
        <v>-4.4913223753632802E-3</v>
      </c>
      <c r="T54" t="s">
        <v>32</v>
      </c>
      <c r="U54" t="s">
        <v>32</v>
      </c>
      <c r="AA54">
        <v>8.2581224420532756E-3</v>
      </c>
      <c r="AC54" t="s">
        <v>42</v>
      </c>
      <c r="AD54" t="s">
        <v>42</v>
      </c>
      <c r="AF54">
        <v>1.79</v>
      </c>
      <c r="AG54">
        <v>1.79</v>
      </c>
      <c r="AH54" t="s">
        <v>244</v>
      </c>
      <c r="AI54" t="s">
        <v>244</v>
      </c>
      <c r="AJ54">
        <v>-2.5167761101054999E-3</v>
      </c>
      <c r="AK54">
        <v>0</v>
      </c>
      <c r="AL54">
        <v>2.5167761101054999E-3</v>
      </c>
      <c r="AN54" t="s">
        <v>42</v>
      </c>
      <c r="AO54" t="s">
        <v>42</v>
      </c>
    </row>
    <row r="55" spans="1:43" x14ac:dyDescent="0.2">
      <c r="A55">
        <v>53</v>
      </c>
      <c r="B55">
        <v>98</v>
      </c>
      <c r="C55">
        <v>6</v>
      </c>
      <c r="F55" t="s">
        <v>29</v>
      </c>
      <c r="G55" t="s">
        <v>515</v>
      </c>
      <c r="I55">
        <v>1.1277232635118997E-5</v>
      </c>
      <c r="J55">
        <v>3.6950365259854001</v>
      </c>
      <c r="K55">
        <v>3.6950365259854001</v>
      </c>
      <c r="L55" s="1"/>
      <c r="M55" s="1"/>
      <c r="N55" s="1">
        <v>43164</v>
      </c>
      <c r="R55">
        <v>-4.4913223753632802E-3</v>
      </c>
      <c r="S55">
        <v>-4.4913223753632802E-3</v>
      </c>
      <c r="T55" t="s">
        <v>32</v>
      </c>
      <c r="U55" t="s">
        <v>32</v>
      </c>
      <c r="AA55">
        <v>8.2388205906256465E-3</v>
      </c>
      <c r="AC55" t="s">
        <v>42</v>
      </c>
      <c r="AD55" t="s">
        <v>42</v>
      </c>
      <c r="AF55">
        <v>1.67</v>
      </c>
      <c r="AG55">
        <v>1.67</v>
      </c>
      <c r="AH55" t="s">
        <v>244</v>
      </c>
      <c r="AI55" t="s">
        <v>244</v>
      </c>
      <c r="AJ55">
        <v>-2.5108936060745002E-3</v>
      </c>
      <c r="AK55">
        <v>0</v>
      </c>
      <c r="AL55">
        <v>2.5108936060745002E-3</v>
      </c>
      <c r="AN55" t="s">
        <v>42</v>
      </c>
      <c r="AO55" t="s">
        <v>42</v>
      </c>
    </row>
    <row r="56" spans="1:43" x14ac:dyDescent="0.2">
      <c r="A56">
        <v>54</v>
      </c>
      <c r="B56">
        <v>101</v>
      </c>
      <c r="C56">
        <v>6</v>
      </c>
      <c r="F56" t="s">
        <v>29</v>
      </c>
      <c r="G56" t="s">
        <v>516</v>
      </c>
      <c r="I56">
        <v>1.425196591303734E-5</v>
      </c>
      <c r="J56">
        <v>5.0633706755765999</v>
      </c>
      <c r="K56">
        <v>5.0633706755765999</v>
      </c>
      <c r="L56" s="1"/>
      <c r="M56" s="1"/>
      <c r="N56" s="1">
        <v>43164</v>
      </c>
      <c r="R56">
        <v>-5.6906384243591525E-3</v>
      </c>
      <c r="S56">
        <v>-5.6906384243591525E-3</v>
      </c>
      <c r="T56" t="s">
        <v>32</v>
      </c>
      <c r="U56" t="s">
        <v>32</v>
      </c>
      <c r="AA56">
        <v>1.0412074843216877E-2</v>
      </c>
      <c r="AC56" t="s">
        <v>42</v>
      </c>
      <c r="AD56" t="s">
        <v>42</v>
      </c>
      <c r="AF56">
        <v>1.82</v>
      </c>
      <c r="AG56">
        <v>1.82</v>
      </c>
      <c r="AH56" t="s">
        <v>244</v>
      </c>
      <c r="AI56" t="s">
        <v>244</v>
      </c>
      <c r="AJ56">
        <v>-2.5044581732746999E-3</v>
      </c>
      <c r="AK56">
        <v>0</v>
      </c>
      <c r="AL56">
        <v>2.5044581732746999E-3</v>
      </c>
      <c r="AN56" t="s">
        <v>42</v>
      </c>
      <c r="AO56" t="s">
        <v>42</v>
      </c>
    </row>
    <row r="57" spans="1:43" x14ac:dyDescent="0.2">
      <c r="A57">
        <v>55</v>
      </c>
      <c r="B57">
        <v>101</v>
      </c>
      <c r="C57">
        <v>6</v>
      </c>
      <c r="F57" t="s">
        <v>29</v>
      </c>
      <c r="G57" t="s">
        <v>1021</v>
      </c>
      <c r="I57">
        <v>1.4027702994002659E-5</v>
      </c>
      <c r="J57">
        <v>6.8289452962333002</v>
      </c>
      <c r="K57">
        <v>6.8289452962333002</v>
      </c>
      <c r="L57" s="1"/>
      <c r="M57" s="1"/>
      <c r="N57" s="1">
        <v>43164</v>
      </c>
      <c r="R57">
        <v>-5.6906384243591525E-3</v>
      </c>
      <c r="S57">
        <v>-5.6906384243591525E-3</v>
      </c>
      <c r="T57" t="s">
        <v>32</v>
      </c>
      <c r="U57" t="s">
        <v>32</v>
      </c>
      <c r="AA57">
        <v>1.024823482901846E-2</v>
      </c>
      <c r="AC57" t="s">
        <v>42</v>
      </c>
      <c r="AD57" t="s">
        <v>42</v>
      </c>
      <c r="AF57">
        <v>2.08</v>
      </c>
      <c r="AG57">
        <v>2.08</v>
      </c>
      <c r="AH57" t="s">
        <v>244</v>
      </c>
      <c r="AI57" t="s">
        <v>244</v>
      </c>
      <c r="AJ57">
        <v>-2.4650490767356001E-3</v>
      </c>
      <c r="AK57">
        <v>0</v>
      </c>
      <c r="AL57">
        <v>2.4650490767356001E-3</v>
      </c>
      <c r="AN57" t="s">
        <v>42</v>
      </c>
      <c r="AO57" t="s">
        <v>42</v>
      </c>
    </row>
    <row r="58" spans="1:43" x14ac:dyDescent="0.2">
      <c r="A58">
        <v>56</v>
      </c>
      <c r="B58">
        <v>101</v>
      </c>
      <c r="C58">
        <v>6</v>
      </c>
      <c r="F58" t="s">
        <v>29</v>
      </c>
      <c r="G58" t="s">
        <v>1050</v>
      </c>
      <c r="I58">
        <v>1.3861281868575365E-5</v>
      </c>
      <c r="J58">
        <v>7.6807130893868001</v>
      </c>
      <c r="K58">
        <v>7.6807130893868001</v>
      </c>
      <c r="L58" s="1"/>
      <c r="M58" s="1"/>
      <c r="N58" s="1">
        <v>43164</v>
      </c>
      <c r="R58">
        <v>-5.6906384243591525E-3</v>
      </c>
      <c r="S58">
        <v>-5.6906384243591525E-3</v>
      </c>
      <c r="T58" t="s">
        <v>32</v>
      </c>
      <c r="U58" t="s">
        <v>32</v>
      </c>
      <c r="AA58">
        <v>1.0126652359342733E-2</v>
      </c>
      <c r="AC58" t="s">
        <v>42</v>
      </c>
      <c r="AD58" t="s">
        <v>42</v>
      </c>
      <c r="AF58">
        <v>2.23</v>
      </c>
      <c r="AG58">
        <v>2.23</v>
      </c>
      <c r="AH58" t="s">
        <v>244</v>
      </c>
      <c r="AI58" t="s">
        <v>244</v>
      </c>
      <c r="AJ58">
        <v>-2.4358043570720002E-3</v>
      </c>
      <c r="AK58">
        <v>0</v>
      </c>
      <c r="AL58">
        <v>2.4358043570720002E-3</v>
      </c>
      <c r="AN58" t="s">
        <v>42</v>
      </c>
      <c r="AO58" t="s">
        <v>42</v>
      </c>
    </row>
    <row r="59" spans="1:43" x14ac:dyDescent="0.2">
      <c r="A59">
        <v>57</v>
      </c>
      <c r="B59">
        <v>101</v>
      </c>
      <c r="C59">
        <v>6</v>
      </c>
      <c r="F59" t="s">
        <v>29</v>
      </c>
      <c r="G59" t="s">
        <v>1051</v>
      </c>
      <c r="I59">
        <v>1.4041862561059008E-5</v>
      </c>
      <c r="J59">
        <v>7.0946329071890002</v>
      </c>
      <c r="K59">
        <v>7.0946329071890002</v>
      </c>
      <c r="L59" s="1"/>
      <c r="M59" s="1"/>
      <c r="N59" s="1">
        <v>43164</v>
      </c>
      <c r="R59">
        <v>-5.6906384243591525E-3</v>
      </c>
      <c r="S59">
        <v>-5.6906384243591525E-3</v>
      </c>
      <c r="T59" t="s">
        <v>32</v>
      </c>
      <c r="U59" t="s">
        <v>32</v>
      </c>
      <c r="AA59">
        <v>1.0258579399924526E-2</v>
      </c>
      <c r="AC59" t="s">
        <v>42</v>
      </c>
      <c r="AD59" t="s">
        <v>42</v>
      </c>
      <c r="AF59">
        <v>2.12</v>
      </c>
      <c r="AG59">
        <v>2.12</v>
      </c>
      <c r="AH59" t="s">
        <v>244</v>
      </c>
      <c r="AI59" t="s">
        <v>244</v>
      </c>
      <c r="AJ59">
        <v>-2.4675372979157998E-3</v>
      </c>
      <c r="AK59">
        <v>0</v>
      </c>
      <c r="AL59">
        <v>2.4675372979157998E-3</v>
      </c>
      <c r="AN59" t="s">
        <v>42</v>
      </c>
      <c r="AO59" t="s">
        <v>42</v>
      </c>
    </row>
    <row r="60" spans="1:43" x14ac:dyDescent="0.2">
      <c r="A60">
        <v>58</v>
      </c>
      <c r="B60">
        <v>98</v>
      </c>
      <c r="C60">
        <v>6</v>
      </c>
      <c r="F60" t="s">
        <v>29</v>
      </c>
      <c r="G60" t="s">
        <v>404</v>
      </c>
      <c r="I60">
        <v>3.7248627662833268E-5</v>
      </c>
      <c r="J60">
        <v>3.2794812850495001</v>
      </c>
      <c r="K60">
        <v>3.2794812850495001</v>
      </c>
      <c r="L60" s="1"/>
      <c r="M60" s="1"/>
      <c r="N60" s="1">
        <v>43164</v>
      </c>
      <c r="R60">
        <v>-4.4913223753632802E-3</v>
      </c>
      <c r="S60">
        <v>-4.4913223753632802E-3</v>
      </c>
      <c r="T60" t="s">
        <v>32</v>
      </c>
      <c r="U60" t="s">
        <v>32</v>
      </c>
      <c r="W60" t="s">
        <v>197</v>
      </c>
      <c r="Z60" t="s">
        <v>31</v>
      </c>
      <c r="AA60">
        <v>2.7212772006264506E-2</v>
      </c>
      <c r="AC60" t="s">
        <v>42</v>
      </c>
      <c r="AD60" t="s">
        <v>42</v>
      </c>
      <c r="AE60" t="s">
        <v>41</v>
      </c>
      <c r="AF60">
        <v>2.46</v>
      </c>
      <c r="AG60">
        <v>2.46</v>
      </c>
      <c r="AH60" t="s">
        <v>244</v>
      </c>
      <c r="AI60" t="s">
        <v>244</v>
      </c>
      <c r="AJ60">
        <v>-8.2934656098518009E-3</v>
      </c>
      <c r="AK60">
        <v>0</v>
      </c>
      <c r="AL60">
        <v>8.2934656098518009E-3</v>
      </c>
      <c r="AM60" t="s">
        <v>41</v>
      </c>
      <c r="AN60" t="s">
        <v>42</v>
      </c>
      <c r="AO60" t="s">
        <v>42</v>
      </c>
      <c r="AP60" t="s">
        <v>31</v>
      </c>
    </row>
    <row r="61" spans="1:43" x14ac:dyDescent="0.2">
      <c r="A61">
        <v>59</v>
      </c>
      <c r="B61">
        <v>98</v>
      </c>
      <c r="C61">
        <v>6</v>
      </c>
      <c r="F61" t="s">
        <v>29</v>
      </c>
      <c r="G61" t="s">
        <v>517</v>
      </c>
      <c r="I61">
        <v>3.7285707494789716E-5</v>
      </c>
      <c r="J61">
        <v>4.1875955204705004</v>
      </c>
      <c r="K61">
        <v>4.1875955204705004</v>
      </c>
      <c r="L61" s="1"/>
      <c r="M61" s="1"/>
      <c r="N61" s="1">
        <v>43164</v>
      </c>
      <c r="R61">
        <v>-4.4913223753632802E-3</v>
      </c>
      <c r="S61">
        <v>-4.4913223753632802E-3</v>
      </c>
      <c r="T61" t="s">
        <v>32</v>
      </c>
      <c r="U61" t="s">
        <v>32</v>
      </c>
      <c r="W61" t="s">
        <v>197</v>
      </c>
      <c r="Z61" t="s">
        <v>31</v>
      </c>
      <c r="AA61">
        <v>2.7239861461000801E-2</v>
      </c>
      <c r="AC61" t="s">
        <v>42</v>
      </c>
      <c r="AD61" t="s">
        <v>42</v>
      </c>
      <c r="AE61" t="s">
        <v>41</v>
      </c>
      <c r="AF61">
        <v>2.48</v>
      </c>
      <c r="AG61">
        <v>2.48</v>
      </c>
      <c r="AH61" t="s">
        <v>244</v>
      </c>
      <c r="AI61" t="s">
        <v>244</v>
      </c>
      <c r="AJ61">
        <v>-8.3017214928317994E-3</v>
      </c>
      <c r="AK61">
        <v>0</v>
      </c>
      <c r="AL61">
        <v>8.3017214928317994E-3</v>
      </c>
      <c r="AM61" t="s">
        <v>41</v>
      </c>
      <c r="AN61" t="s">
        <v>42</v>
      </c>
      <c r="AO61" t="s">
        <v>42</v>
      </c>
      <c r="AP61" t="s">
        <v>31</v>
      </c>
    </row>
    <row r="62" spans="1:43" x14ac:dyDescent="0.2">
      <c r="A62">
        <v>60</v>
      </c>
      <c r="B62">
        <v>95</v>
      </c>
      <c r="C62">
        <v>6</v>
      </c>
      <c r="F62" t="s">
        <v>29</v>
      </c>
      <c r="G62" t="s">
        <v>518</v>
      </c>
      <c r="I62">
        <v>4.7276394329500279E-5</v>
      </c>
      <c r="J62">
        <v>1.5460749454648</v>
      </c>
      <c r="K62">
        <v>1.5460749454648</v>
      </c>
      <c r="L62" s="1"/>
      <c r="M62" s="1"/>
      <c r="N62" s="1">
        <v>43164</v>
      </c>
      <c r="R62">
        <v>-2.8093124561633931E-3</v>
      </c>
      <c r="S62">
        <v>-2.8093124561633931E-3</v>
      </c>
      <c r="T62" t="s">
        <v>32</v>
      </c>
      <c r="U62" t="s">
        <v>32</v>
      </c>
      <c r="W62" t="s">
        <v>197</v>
      </c>
      <c r="Z62" t="s">
        <v>31</v>
      </c>
      <c r="AA62">
        <v>3.4538768832298228E-2</v>
      </c>
      <c r="AC62" t="s">
        <v>42</v>
      </c>
      <c r="AD62" t="s">
        <v>42</v>
      </c>
      <c r="AE62" t="s">
        <v>41</v>
      </c>
      <c r="AF62">
        <v>1.2</v>
      </c>
      <c r="AG62">
        <v>1.2</v>
      </c>
      <c r="AH62" t="s">
        <v>244</v>
      </c>
      <c r="AI62" t="s">
        <v>244</v>
      </c>
      <c r="AJ62">
        <v>-1.6828457164235998E-2</v>
      </c>
      <c r="AK62">
        <v>0</v>
      </c>
      <c r="AL62">
        <v>1.6828457164235998E-2</v>
      </c>
      <c r="AM62" t="s">
        <v>41</v>
      </c>
      <c r="AN62" t="s">
        <v>42</v>
      </c>
      <c r="AO62" t="s">
        <v>42</v>
      </c>
      <c r="AP62" t="s">
        <v>31</v>
      </c>
    </row>
    <row r="63" spans="1:43" x14ac:dyDescent="0.2">
      <c r="A63">
        <v>61</v>
      </c>
      <c r="B63">
        <v>102</v>
      </c>
      <c r="C63">
        <v>6</v>
      </c>
      <c r="D63">
        <v>30000</v>
      </c>
      <c r="E63" t="s">
        <v>403</v>
      </c>
      <c r="F63" t="s">
        <v>29</v>
      </c>
      <c r="G63" t="s">
        <v>519</v>
      </c>
      <c r="H63">
        <v>8.0302216115654468E-2</v>
      </c>
      <c r="I63">
        <v>6.4898414214629936E-6</v>
      </c>
      <c r="J63">
        <v>6.14</v>
      </c>
      <c r="K63">
        <v>6.1473246203637002</v>
      </c>
      <c r="L63" s="1">
        <v>45566</v>
      </c>
      <c r="M63" s="1">
        <v>43165</v>
      </c>
      <c r="N63" s="1">
        <v>43164</v>
      </c>
      <c r="R63">
        <v>-1.8407209487297778E-3</v>
      </c>
      <c r="S63">
        <v>-5.6906384243591525E-3</v>
      </c>
      <c r="T63" t="s">
        <v>32</v>
      </c>
      <c r="U63" t="s">
        <v>32</v>
      </c>
      <c r="V63">
        <v>815394339</v>
      </c>
      <c r="W63" t="s">
        <v>197</v>
      </c>
      <c r="X63" t="s">
        <v>405</v>
      </c>
      <c r="Y63">
        <v>30000</v>
      </c>
      <c r="Z63" t="s">
        <v>31</v>
      </c>
      <c r="AA63">
        <v>4.7412907814400442E-3</v>
      </c>
      <c r="AB63">
        <v>99.99</v>
      </c>
      <c r="AC63" t="s">
        <v>36</v>
      </c>
      <c r="AD63" t="s">
        <v>42</v>
      </c>
      <c r="AE63" t="s">
        <v>41</v>
      </c>
      <c r="AF63">
        <v>8.5114849139223292E-2</v>
      </c>
      <c r="AG63">
        <v>2</v>
      </c>
      <c r="AH63" t="s">
        <v>244</v>
      </c>
      <c r="AI63" t="s">
        <v>244</v>
      </c>
      <c r="AJ63">
        <v>-3.5257062869531765E-3</v>
      </c>
      <c r="AK63">
        <v>1.3078536826653823E-2</v>
      </c>
      <c r="AL63">
        <v>1.6604243113607E-2</v>
      </c>
      <c r="AM63" t="s">
        <v>41</v>
      </c>
      <c r="AN63" t="s">
        <v>146</v>
      </c>
      <c r="AO63" t="s">
        <v>42</v>
      </c>
      <c r="AP63" t="s">
        <v>31</v>
      </c>
      <c r="AQ63">
        <v>1.1131776889624163E-3</v>
      </c>
    </row>
    <row r="64" spans="1:43" x14ac:dyDescent="0.2">
      <c r="A64">
        <v>62</v>
      </c>
      <c r="B64">
        <v>98</v>
      </c>
      <c r="C64">
        <v>6</v>
      </c>
      <c r="F64" t="s">
        <v>29</v>
      </c>
      <c r="G64" t="s">
        <v>1022</v>
      </c>
      <c r="I64">
        <v>1.1561461909808679E-5</v>
      </c>
      <c r="J64">
        <v>4.9236121298209996</v>
      </c>
      <c r="K64">
        <v>4.9236121298209996</v>
      </c>
      <c r="L64" s="1"/>
      <c r="M64" s="1"/>
      <c r="N64" s="1">
        <v>43164</v>
      </c>
      <c r="R64">
        <v>-4.4913223753632802E-3</v>
      </c>
      <c r="S64">
        <v>-4.4913223753632802E-3</v>
      </c>
      <c r="T64" t="s">
        <v>32</v>
      </c>
      <c r="U64" t="s">
        <v>32</v>
      </c>
      <c r="AA64">
        <v>8.4464702930428411E-3</v>
      </c>
      <c r="AC64" t="s">
        <v>42</v>
      </c>
      <c r="AD64" t="s">
        <v>42</v>
      </c>
      <c r="AF64">
        <v>1.82</v>
      </c>
      <c r="AG64">
        <v>1.82</v>
      </c>
      <c r="AH64" t="s">
        <v>244</v>
      </c>
      <c r="AI64" t="s">
        <v>244</v>
      </c>
      <c r="AJ64">
        <v>-2.5741777017005002E-3</v>
      </c>
      <c r="AK64">
        <v>0</v>
      </c>
      <c r="AL64">
        <v>2.5741777017005002E-3</v>
      </c>
      <c r="AN64" t="s">
        <v>42</v>
      </c>
      <c r="AO64" t="s">
        <v>42</v>
      </c>
    </row>
    <row r="65" spans="1:43" x14ac:dyDescent="0.2">
      <c r="A65">
        <v>63</v>
      </c>
      <c r="B65">
        <v>98</v>
      </c>
      <c r="C65">
        <v>6</v>
      </c>
      <c r="F65" t="s">
        <v>29</v>
      </c>
      <c r="G65" t="s">
        <v>520</v>
      </c>
      <c r="I65">
        <v>1.1285185248909185E-5</v>
      </c>
      <c r="J65">
        <v>3.6102129797610001</v>
      </c>
      <c r="K65">
        <v>3.6102129797610001</v>
      </c>
      <c r="L65" s="1"/>
      <c r="M65" s="1"/>
      <c r="N65" s="1">
        <v>43164</v>
      </c>
      <c r="R65">
        <v>-4.4913223753632802E-3</v>
      </c>
      <c r="S65">
        <v>-4.4913223753632802E-3</v>
      </c>
      <c r="T65" t="s">
        <v>32</v>
      </c>
      <c r="U65" t="s">
        <v>32</v>
      </c>
      <c r="AA65">
        <v>8.2446305406695831E-3</v>
      </c>
      <c r="AC65" t="s">
        <v>42</v>
      </c>
      <c r="AD65" t="s">
        <v>42</v>
      </c>
      <c r="AF65">
        <v>1.67</v>
      </c>
      <c r="AG65">
        <v>1.67</v>
      </c>
      <c r="AH65" t="s">
        <v>244</v>
      </c>
      <c r="AI65" t="s">
        <v>244</v>
      </c>
      <c r="AJ65">
        <v>-2.5126642680589999E-3</v>
      </c>
      <c r="AK65">
        <v>0</v>
      </c>
      <c r="AL65">
        <v>2.5126642680589999E-3</v>
      </c>
      <c r="AN65" t="s">
        <v>42</v>
      </c>
      <c r="AO65" t="s">
        <v>42</v>
      </c>
    </row>
    <row r="66" spans="1:43" x14ac:dyDescent="0.2">
      <c r="A66">
        <v>64</v>
      </c>
      <c r="B66">
        <v>104</v>
      </c>
      <c r="C66">
        <v>6</v>
      </c>
      <c r="D66">
        <v>70000000</v>
      </c>
      <c r="E66" t="s">
        <v>521</v>
      </c>
      <c r="F66" t="s">
        <v>29</v>
      </c>
      <c r="G66" t="s">
        <v>522</v>
      </c>
      <c r="H66">
        <v>3.3066756397014666E-4</v>
      </c>
      <c r="I66">
        <v>1.8240502005181265E-8</v>
      </c>
      <c r="J66">
        <v>0.88</v>
      </c>
      <c r="L66" s="1">
        <v>44013</v>
      </c>
      <c r="M66" s="1">
        <v>43165</v>
      </c>
      <c r="N66" s="1"/>
      <c r="R66">
        <v>4.8543139737796264E-5</v>
      </c>
      <c r="T66" t="s">
        <v>39</v>
      </c>
      <c r="V66">
        <v>23427042</v>
      </c>
      <c r="W66" t="s">
        <v>523</v>
      </c>
      <c r="X66" t="s">
        <v>405</v>
      </c>
      <c r="Y66">
        <v>70000000</v>
      </c>
      <c r="Z66" t="s">
        <v>31</v>
      </c>
      <c r="AA66">
        <v>1.3325984163494207E-5</v>
      </c>
      <c r="AB66">
        <v>100.21</v>
      </c>
      <c r="AC66" t="s">
        <v>33</v>
      </c>
      <c r="AE66" t="s">
        <v>41</v>
      </c>
      <c r="AF66">
        <v>6.7599999999999993E-2</v>
      </c>
      <c r="AH66" t="s">
        <v>244</v>
      </c>
      <c r="AJ66">
        <v>3.7575859542062119E-4</v>
      </c>
      <c r="AK66">
        <v>3.7575859542062119E-4</v>
      </c>
      <c r="AL66">
        <v>0</v>
      </c>
      <c r="AN66" t="s">
        <v>144</v>
      </c>
      <c r="AQ66">
        <v>2.540128105043399E-5</v>
      </c>
    </row>
    <row r="67" spans="1:43" x14ac:dyDescent="0.2">
      <c r="A67">
        <v>65</v>
      </c>
      <c r="B67">
        <v>107</v>
      </c>
      <c r="C67">
        <v>6</v>
      </c>
      <c r="D67">
        <v>200000000</v>
      </c>
      <c r="E67" t="s">
        <v>521</v>
      </c>
      <c r="F67" t="s">
        <v>29</v>
      </c>
      <c r="G67" t="s">
        <v>524</v>
      </c>
      <c r="H67">
        <v>3.5174990654553073E-3</v>
      </c>
      <c r="I67">
        <v>-5.1456799252315354E-7</v>
      </c>
      <c r="J67">
        <v>1.08</v>
      </c>
      <c r="K67">
        <v>1.0891509903870999</v>
      </c>
      <c r="L67" s="1">
        <v>43922</v>
      </c>
      <c r="M67" s="1">
        <v>43165</v>
      </c>
      <c r="N67" s="1">
        <v>43164</v>
      </c>
      <c r="R67">
        <v>-2.0737663149124656E-4</v>
      </c>
      <c r="S67">
        <v>-2.0737663149124656E-4</v>
      </c>
      <c r="T67" t="s">
        <v>39</v>
      </c>
      <c r="U67" t="s">
        <v>39</v>
      </c>
      <c r="V67">
        <v>203057375</v>
      </c>
      <c r="W67" t="s">
        <v>523</v>
      </c>
      <c r="X67" t="s">
        <v>405</v>
      </c>
      <c r="Y67">
        <v>200000000</v>
      </c>
      <c r="Z67" t="s">
        <v>31</v>
      </c>
      <c r="AA67">
        <v>-3.7592851981029711E-4</v>
      </c>
      <c r="AB67">
        <v>100.53</v>
      </c>
      <c r="AC67" t="s">
        <v>33</v>
      </c>
      <c r="AD67" t="s">
        <v>33</v>
      </c>
      <c r="AE67" t="s">
        <v>41</v>
      </c>
      <c r="AF67">
        <v>5.2999999999999999E-2</v>
      </c>
      <c r="AG67">
        <v>5.3</v>
      </c>
      <c r="AH67" t="s">
        <v>244</v>
      </c>
      <c r="AI67" t="s">
        <v>244</v>
      </c>
      <c r="AJ67">
        <v>2.4813210091363339E-3</v>
      </c>
      <c r="AK67">
        <v>3.2569435791252842E-3</v>
      </c>
      <c r="AL67">
        <v>7.7562256998895004E-4</v>
      </c>
      <c r="AM67" t="s">
        <v>41</v>
      </c>
      <c r="AN67" t="s">
        <v>144</v>
      </c>
      <c r="AO67" t="s">
        <v>33</v>
      </c>
      <c r="AP67" t="s">
        <v>31</v>
      </c>
      <c r="AQ67">
        <v>1.7261800969364005E-4</v>
      </c>
    </row>
    <row r="68" spans="1:43" x14ac:dyDescent="0.2">
      <c r="A68">
        <v>66</v>
      </c>
      <c r="B68">
        <v>99</v>
      </c>
      <c r="C68">
        <v>6</v>
      </c>
      <c r="F68" t="s">
        <v>29</v>
      </c>
      <c r="G68" t="s">
        <v>525</v>
      </c>
      <c r="I68">
        <v>1.9179553407717244E-6</v>
      </c>
      <c r="J68">
        <v>3.7215555052931002</v>
      </c>
      <c r="K68">
        <v>3.7215555052931002</v>
      </c>
      <c r="L68" s="1"/>
      <c r="M68" s="1"/>
      <c r="N68" s="1">
        <v>43164</v>
      </c>
      <c r="R68">
        <v>-2.4229989783995497E-3</v>
      </c>
      <c r="S68">
        <v>-2.4229989783995497E-3</v>
      </c>
      <c r="T68" t="s">
        <v>32</v>
      </c>
      <c r="U68" t="s">
        <v>32</v>
      </c>
      <c r="AA68">
        <v>1.4012028007865753E-3</v>
      </c>
      <c r="AC68" t="s">
        <v>33</v>
      </c>
      <c r="AD68" t="s">
        <v>33</v>
      </c>
      <c r="AF68">
        <v>1.97</v>
      </c>
      <c r="AG68">
        <v>1.97</v>
      </c>
      <c r="AH68" t="s">
        <v>244</v>
      </c>
      <c r="AI68" t="s">
        <v>244</v>
      </c>
      <c r="AJ68">
        <v>-7.9156258746695008E-4</v>
      </c>
      <c r="AK68">
        <v>0</v>
      </c>
      <c r="AL68">
        <v>7.9156258746695008E-4</v>
      </c>
      <c r="AN68" t="s">
        <v>33</v>
      </c>
      <c r="AO68" t="s">
        <v>33</v>
      </c>
    </row>
    <row r="69" spans="1:43" x14ac:dyDescent="0.2">
      <c r="A69">
        <v>67</v>
      </c>
      <c r="B69">
        <v>104</v>
      </c>
      <c r="C69">
        <v>6</v>
      </c>
      <c r="F69" t="s">
        <v>29</v>
      </c>
      <c r="G69" t="s">
        <v>412</v>
      </c>
      <c r="I69">
        <v>-6.7642243784627908E-9</v>
      </c>
      <c r="J69">
        <v>0.36164383561643998</v>
      </c>
      <c r="K69">
        <v>0.36164383561643998</v>
      </c>
      <c r="L69" s="1"/>
      <c r="M69" s="1"/>
      <c r="N69" s="1">
        <v>43164</v>
      </c>
      <c r="R69">
        <v>4.8543139737796264E-5</v>
      </c>
      <c r="S69">
        <v>4.8543139737796264E-5</v>
      </c>
      <c r="T69" t="s">
        <v>39</v>
      </c>
      <c r="U69" t="s">
        <v>39</v>
      </c>
      <c r="W69" t="s">
        <v>411</v>
      </c>
      <c r="Z69" t="s">
        <v>31</v>
      </c>
      <c r="AA69">
        <v>-4.9417470484152291E-6</v>
      </c>
      <c r="AC69" t="s">
        <v>33</v>
      </c>
      <c r="AD69" t="s">
        <v>33</v>
      </c>
      <c r="AE69" t="s">
        <v>41</v>
      </c>
      <c r="AF69">
        <v>2.99</v>
      </c>
      <c r="AG69">
        <v>2.99</v>
      </c>
      <c r="AH69" t="s">
        <v>244</v>
      </c>
      <c r="AI69" t="s">
        <v>244</v>
      </c>
      <c r="AJ69">
        <v>-1.3934459977248001E-4</v>
      </c>
      <c r="AK69">
        <v>0</v>
      </c>
      <c r="AL69">
        <v>1.3934459977248001E-4</v>
      </c>
      <c r="AM69" t="s">
        <v>41</v>
      </c>
      <c r="AN69" t="s">
        <v>33</v>
      </c>
      <c r="AO69" t="s">
        <v>33</v>
      </c>
      <c r="AP69" t="s">
        <v>31</v>
      </c>
    </row>
    <row r="70" spans="1:43" x14ac:dyDescent="0.2">
      <c r="A70">
        <v>68</v>
      </c>
      <c r="B70">
        <v>107</v>
      </c>
      <c r="C70">
        <v>6</v>
      </c>
      <c r="F70" t="s">
        <v>29</v>
      </c>
      <c r="G70" t="s">
        <v>425</v>
      </c>
      <c r="I70">
        <v>1.9322175088060775E-7</v>
      </c>
      <c r="J70">
        <v>2.0017130805639001</v>
      </c>
      <c r="K70">
        <v>2.0017130805639001</v>
      </c>
      <c r="L70" s="1"/>
      <c r="M70" s="1"/>
      <c r="N70" s="1">
        <v>43164</v>
      </c>
      <c r="R70">
        <v>-2.0737663149124656E-4</v>
      </c>
      <c r="S70">
        <v>-2.0737663149124656E-4</v>
      </c>
      <c r="T70" t="s">
        <v>39</v>
      </c>
      <c r="U70" t="s">
        <v>39</v>
      </c>
      <c r="W70" t="s">
        <v>411</v>
      </c>
      <c r="Z70" t="s">
        <v>31</v>
      </c>
      <c r="AA70">
        <v>1.4116223290050911E-4</v>
      </c>
      <c r="AC70" t="s">
        <v>33</v>
      </c>
      <c r="AD70" t="s">
        <v>33</v>
      </c>
      <c r="AE70" t="s">
        <v>41</v>
      </c>
      <c r="AF70">
        <v>3.96</v>
      </c>
      <c r="AG70">
        <v>3.96</v>
      </c>
      <c r="AH70" t="s">
        <v>244</v>
      </c>
      <c r="AI70" t="s">
        <v>244</v>
      </c>
      <c r="AJ70">
        <v>-9.3174312597880005E-4</v>
      </c>
      <c r="AK70">
        <v>0</v>
      </c>
      <c r="AL70">
        <v>9.3174312597880005E-4</v>
      </c>
      <c r="AM70" t="s">
        <v>41</v>
      </c>
      <c r="AN70" t="s">
        <v>33</v>
      </c>
      <c r="AO70" t="s">
        <v>33</v>
      </c>
      <c r="AP70" t="s">
        <v>31</v>
      </c>
    </row>
    <row r="71" spans="1:43" x14ac:dyDescent="0.2">
      <c r="A71">
        <v>69</v>
      </c>
      <c r="B71">
        <v>96</v>
      </c>
      <c r="C71">
        <v>6</v>
      </c>
      <c r="D71">
        <v>4000</v>
      </c>
      <c r="E71" t="s">
        <v>376</v>
      </c>
      <c r="F71" t="s">
        <v>29</v>
      </c>
      <c r="G71" t="s">
        <v>526</v>
      </c>
      <c r="H71">
        <v>3.785961288886901E-3</v>
      </c>
      <c r="I71">
        <v>2.1911058783801936E-9</v>
      </c>
      <c r="J71">
        <v>2.0699999999999998</v>
      </c>
      <c r="K71">
        <v>2.0768506757142999</v>
      </c>
      <c r="L71" s="1">
        <v>43952</v>
      </c>
      <c r="M71" s="1">
        <v>43165</v>
      </c>
      <c r="N71" s="1">
        <v>43164</v>
      </c>
      <c r="R71">
        <v>-2.4313878536657216E-3</v>
      </c>
      <c r="S71">
        <v>-2.4313878536657216E-3</v>
      </c>
      <c r="T71" t="s">
        <v>32</v>
      </c>
      <c r="U71" t="s">
        <v>32</v>
      </c>
      <c r="V71">
        <v>114028748</v>
      </c>
      <c r="W71" t="s">
        <v>210</v>
      </c>
      <c r="X71" t="s">
        <v>527</v>
      </c>
      <c r="Y71">
        <v>4000</v>
      </c>
      <c r="Z71" t="s">
        <v>31</v>
      </c>
      <c r="AA71">
        <v>1.600758697734282E-6</v>
      </c>
      <c r="AB71">
        <v>104.51</v>
      </c>
      <c r="AC71" t="s">
        <v>33</v>
      </c>
      <c r="AD71" t="s">
        <v>33</v>
      </c>
      <c r="AE71" t="s">
        <v>41</v>
      </c>
      <c r="AF71">
        <v>7.8514849139223283E-2</v>
      </c>
      <c r="AG71">
        <v>1.35</v>
      </c>
      <c r="AH71" t="s">
        <v>244</v>
      </c>
      <c r="AI71" t="s">
        <v>244</v>
      </c>
      <c r="AJ71">
        <v>-9.0117497094375013E-7</v>
      </c>
      <c r="AK71">
        <v>1.8289668062255562E-3</v>
      </c>
      <c r="AL71">
        <v>1.8298679811964999E-3</v>
      </c>
      <c r="AM71" t="s">
        <v>41</v>
      </c>
      <c r="AN71" t="s">
        <v>144</v>
      </c>
      <c r="AO71" t="s">
        <v>33</v>
      </c>
      <c r="AP71" t="s">
        <v>31</v>
      </c>
      <c r="AQ71">
        <v>1.4360105287144657E-4</v>
      </c>
    </row>
    <row r="72" spans="1:43" x14ac:dyDescent="0.2">
      <c r="A72">
        <v>70</v>
      </c>
      <c r="B72">
        <v>104</v>
      </c>
      <c r="C72">
        <v>6</v>
      </c>
      <c r="F72" t="s">
        <v>29</v>
      </c>
      <c r="G72" t="s">
        <v>528</v>
      </c>
      <c r="I72">
        <v>-7.6233896783168582E-8</v>
      </c>
      <c r="J72">
        <v>0.89840705404499999</v>
      </c>
      <c r="K72">
        <v>0.89840705404499999</v>
      </c>
      <c r="L72" s="1"/>
      <c r="M72" s="1"/>
      <c r="N72" s="1">
        <v>43164</v>
      </c>
      <c r="R72">
        <v>4.8543139737796264E-5</v>
      </c>
      <c r="S72">
        <v>4.8543139737796264E-5</v>
      </c>
      <c r="T72" t="s">
        <v>39</v>
      </c>
      <c r="U72" t="s">
        <v>39</v>
      </c>
      <c r="W72" t="s">
        <v>210</v>
      </c>
      <c r="Z72" t="s">
        <v>31</v>
      </c>
      <c r="AA72">
        <v>-5.5694284124712661E-5</v>
      </c>
      <c r="AC72" t="s">
        <v>33</v>
      </c>
      <c r="AD72" t="s">
        <v>33</v>
      </c>
      <c r="AE72" t="s">
        <v>41</v>
      </c>
      <c r="AF72">
        <v>3.25</v>
      </c>
      <c r="AG72">
        <v>3.25</v>
      </c>
      <c r="AH72" t="s">
        <v>244</v>
      </c>
      <c r="AI72" t="s">
        <v>244</v>
      </c>
      <c r="AJ72">
        <v>-1.5704360532702E-3</v>
      </c>
      <c r="AK72">
        <v>0</v>
      </c>
      <c r="AL72">
        <v>1.5704360532702E-3</v>
      </c>
      <c r="AM72" t="s">
        <v>41</v>
      </c>
      <c r="AN72" t="s">
        <v>33</v>
      </c>
      <c r="AO72" t="s">
        <v>33</v>
      </c>
      <c r="AP72" t="s">
        <v>31</v>
      </c>
    </row>
    <row r="73" spans="1:43" x14ac:dyDescent="0.2">
      <c r="A73">
        <v>71</v>
      </c>
      <c r="B73">
        <v>99</v>
      </c>
      <c r="C73">
        <v>6</v>
      </c>
      <c r="F73" t="s">
        <v>29</v>
      </c>
      <c r="G73" t="s">
        <v>529</v>
      </c>
      <c r="I73">
        <v>1.0501665844869267E-5</v>
      </c>
      <c r="J73">
        <v>3.7971095165605999</v>
      </c>
      <c r="K73">
        <v>3.7971095165605999</v>
      </c>
      <c r="L73" s="1"/>
      <c r="M73" s="1"/>
      <c r="N73" s="1">
        <v>43164</v>
      </c>
      <c r="R73">
        <v>-2.4229989783995497E-3</v>
      </c>
      <c r="S73">
        <v>-2.4229989783995497E-3</v>
      </c>
      <c r="T73" t="s">
        <v>32</v>
      </c>
      <c r="U73" t="s">
        <v>32</v>
      </c>
      <c r="W73" t="s">
        <v>210</v>
      </c>
      <c r="Z73" t="s">
        <v>31</v>
      </c>
      <c r="AA73">
        <v>7.6722138842058229E-3</v>
      </c>
      <c r="AC73" t="s">
        <v>33</v>
      </c>
      <c r="AD73" t="s">
        <v>33</v>
      </c>
      <c r="AE73" t="s">
        <v>41</v>
      </c>
      <c r="AF73">
        <v>1.66</v>
      </c>
      <c r="AG73">
        <v>1.66</v>
      </c>
      <c r="AH73" t="s">
        <v>244</v>
      </c>
      <c r="AI73" t="s">
        <v>244</v>
      </c>
      <c r="AJ73">
        <v>-4.3341602445932E-3</v>
      </c>
      <c r="AK73">
        <v>0</v>
      </c>
      <c r="AL73">
        <v>4.3341602445932E-3</v>
      </c>
      <c r="AM73" t="s">
        <v>41</v>
      </c>
      <c r="AN73" t="s">
        <v>33</v>
      </c>
      <c r="AO73" t="s">
        <v>33</v>
      </c>
      <c r="AP73" t="s">
        <v>31</v>
      </c>
    </row>
    <row r="74" spans="1:43" x14ac:dyDescent="0.2">
      <c r="A74">
        <v>72</v>
      </c>
      <c r="B74">
        <v>96</v>
      </c>
      <c r="C74">
        <v>6</v>
      </c>
      <c r="F74" t="s">
        <v>29</v>
      </c>
      <c r="G74" t="s">
        <v>530</v>
      </c>
      <c r="I74">
        <v>8.1680022498085382E-6</v>
      </c>
      <c r="J74">
        <v>2.8088448303942002</v>
      </c>
      <c r="K74">
        <v>2.8088448303942002</v>
      </c>
      <c r="L74" s="1"/>
      <c r="M74" s="1"/>
      <c r="N74" s="1">
        <v>43164</v>
      </c>
      <c r="R74">
        <v>-2.4313878536657216E-3</v>
      </c>
      <c r="S74">
        <v>-2.4313878536657216E-3</v>
      </c>
      <c r="T74" t="s">
        <v>32</v>
      </c>
      <c r="U74" t="s">
        <v>32</v>
      </c>
      <c r="W74" t="s">
        <v>210</v>
      </c>
      <c r="Z74" t="s">
        <v>31</v>
      </c>
      <c r="AA74">
        <v>5.9673066342919414E-3</v>
      </c>
      <c r="AC74" t="s">
        <v>33</v>
      </c>
      <c r="AD74" t="s">
        <v>33</v>
      </c>
      <c r="AE74" t="s">
        <v>41</v>
      </c>
      <c r="AF74">
        <v>1.49</v>
      </c>
      <c r="AG74">
        <v>1.49</v>
      </c>
      <c r="AH74" t="s">
        <v>244</v>
      </c>
      <c r="AI74" t="s">
        <v>244</v>
      </c>
      <c r="AJ74">
        <v>-3.3593991339119001E-3</v>
      </c>
      <c r="AK74">
        <v>0</v>
      </c>
      <c r="AL74">
        <v>3.3593991339119001E-3</v>
      </c>
      <c r="AM74" t="s">
        <v>41</v>
      </c>
      <c r="AN74" t="s">
        <v>33</v>
      </c>
      <c r="AO74" t="s">
        <v>33</v>
      </c>
      <c r="AP74" t="s">
        <v>31</v>
      </c>
    </row>
    <row r="75" spans="1:43" x14ac:dyDescent="0.2">
      <c r="A75">
        <v>73</v>
      </c>
      <c r="B75">
        <v>93</v>
      </c>
      <c r="C75">
        <v>6</v>
      </c>
      <c r="F75" t="s">
        <v>29</v>
      </c>
      <c r="G75" t="s">
        <v>377</v>
      </c>
      <c r="I75">
        <v>9.2091712995318181E-6</v>
      </c>
      <c r="J75">
        <v>0.98178454280189997</v>
      </c>
      <c r="K75">
        <v>0.98178454280189997</v>
      </c>
      <c r="L75" s="1"/>
      <c r="M75" s="1"/>
      <c r="N75" s="1">
        <v>43164</v>
      </c>
      <c r="R75">
        <v>-2.1922679503766566E-3</v>
      </c>
      <c r="S75">
        <v>-2.1922679503766566E-3</v>
      </c>
      <c r="T75" t="s">
        <v>32</v>
      </c>
      <c r="U75" t="s">
        <v>32</v>
      </c>
      <c r="W75" t="s">
        <v>210</v>
      </c>
      <c r="Z75" t="s">
        <v>31</v>
      </c>
      <c r="AA75">
        <v>6.7279546835721437E-3</v>
      </c>
      <c r="AC75" t="s">
        <v>33</v>
      </c>
      <c r="AD75" t="s">
        <v>33</v>
      </c>
      <c r="AE75" t="s">
        <v>41</v>
      </c>
      <c r="AF75">
        <v>0.99</v>
      </c>
      <c r="AG75">
        <v>0.99</v>
      </c>
      <c r="AH75" t="s">
        <v>244</v>
      </c>
      <c r="AI75" t="s">
        <v>244</v>
      </c>
      <c r="AJ75">
        <v>-4.2007507786397998E-3</v>
      </c>
      <c r="AK75">
        <v>0</v>
      </c>
      <c r="AL75">
        <v>4.2007507786397998E-3</v>
      </c>
      <c r="AM75" t="s">
        <v>41</v>
      </c>
      <c r="AN75" t="s">
        <v>33</v>
      </c>
      <c r="AO75" t="s">
        <v>33</v>
      </c>
      <c r="AP75" t="s">
        <v>31</v>
      </c>
    </row>
    <row r="76" spans="1:43" x14ac:dyDescent="0.2">
      <c r="A76">
        <v>74</v>
      </c>
      <c r="B76">
        <v>102</v>
      </c>
      <c r="C76">
        <v>6</v>
      </c>
      <c r="D76">
        <v>11000</v>
      </c>
      <c r="E76" t="s">
        <v>376</v>
      </c>
      <c r="F76" t="s">
        <v>29</v>
      </c>
      <c r="G76" t="s">
        <v>531</v>
      </c>
      <c r="H76">
        <v>2.8044793839221923E-2</v>
      </c>
      <c r="I76">
        <v>-1.2522666418833862E-6</v>
      </c>
      <c r="J76">
        <v>5.54</v>
      </c>
      <c r="K76">
        <v>5.5474140134818999</v>
      </c>
      <c r="L76" s="1">
        <v>45352</v>
      </c>
      <c r="M76" s="1">
        <v>43165</v>
      </c>
      <c r="N76" s="1">
        <v>43164</v>
      </c>
      <c r="R76">
        <v>-1.8407209487297778E-3</v>
      </c>
      <c r="S76">
        <v>-1.8407209487297778E-3</v>
      </c>
      <c r="T76" t="s">
        <v>32</v>
      </c>
      <c r="U76" t="s">
        <v>32</v>
      </c>
      <c r="V76">
        <v>315610192</v>
      </c>
      <c r="W76" t="s">
        <v>210</v>
      </c>
      <c r="X76" t="s">
        <v>378</v>
      </c>
      <c r="Y76">
        <v>11000</v>
      </c>
      <c r="Z76" t="s">
        <v>31</v>
      </c>
      <c r="AA76">
        <v>-9.1486985574574056E-4</v>
      </c>
      <c r="AB76">
        <v>106.41</v>
      </c>
      <c r="AC76" t="s">
        <v>33</v>
      </c>
      <c r="AD76" t="s">
        <v>33</v>
      </c>
      <c r="AE76" t="s">
        <v>41</v>
      </c>
      <c r="AF76">
        <v>8.371484913922328E-2</v>
      </c>
      <c r="AG76">
        <v>1.87</v>
      </c>
      <c r="AH76" t="s">
        <v>244</v>
      </c>
      <c r="AI76" t="s">
        <v>244</v>
      </c>
      <c r="AJ76">
        <v>6.8031313640860933E-4</v>
      </c>
      <c r="AK76">
        <v>5.0622371550942099E-3</v>
      </c>
      <c r="AL76">
        <v>4.3819240186856005E-3</v>
      </c>
      <c r="AM76" t="s">
        <v>41</v>
      </c>
      <c r="AN76" t="s">
        <v>144</v>
      </c>
      <c r="AO76" t="s">
        <v>33</v>
      </c>
      <c r="AP76" t="s">
        <v>31</v>
      </c>
      <c r="AQ76">
        <v>4.2378441974568262E-4</v>
      </c>
    </row>
    <row r="77" spans="1:43" x14ac:dyDescent="0.2">
      <c r="A77">
        <v>75</v>
      </c>
      <c r="B77">
        <v>107</v>
      </c>
      <c r="C77">
        <v>6</v>
      </c>
      <c r="D77">
        <v>220000000</v>
      </c>
      <c r="E77" t="s">
        <v>376</v>
      </c>
      <c r="F77" t="s">
        <v>29</v>
      </c>
      <c r="G77" t="s">
        <v>423</v>
      </c>
      <c r="H77">
        <v>9.7344860131288735E-3</v>
      </c>
      <c r="I77">
        <v>-5.0181153425540206E-7</v>
      </c>
      <c r="J77">
        <v>2.63</v>
      </c>
      <c r="K77">
        <v>2.6403457930003</v>
      </c>
      <c r="L77" s="1">
        <v>44197</v>
      </c>
      <c r="M77" s="1">
        <v>43165</v>
      </c>
      <c r="N77" s="1">
        <v>43164</v>
      </c>
      <c r="R77">
        <v>-2.0737663149124656E-4</v>
      </c>
      <c r="S77">
        <v>-2.0737663149124656E-4</v>
      </c>
      <c r="T77" t="s">
        <v>39</v>
      </c>
      <c r="U77" t="s">
        <v>39</v>
      </c>
      <c r="V77">
        <v>230762805</v>
      </c>
      <c r="W77" t="s">
        <v>210</v>
      </c>
      <c r="X77" t="s">
        <v>378</v>
      </c>
      <c r="Y77">
        <v>220000000</v>
      </c>
      <c r="Z77" t="s">
        <v>31</v>
      </c>
      <c r="AA77">
        <v>-3.6660901967756806E-4</v>
      </c>
      <c r="AB77">
        <v>103.9</v>
      </c>
      <c r="AC77" t="s">
        <v>33</v>
      </c>
      <c r="AD77" t="s">
        <v>33</v>
      </c>
      <c r="AE77" t="s">
        <v>41</v>
      </c>
      <c r="AF77">
        <v>4.0500000000000001E-2</v>
      </c>
      <c r="AG77">
        <v>4.08</v>
      </c>
      <c r="AH77" t="s">
        <v>244</v>
      </c>
      <c r="AI77" t="s">
        <v>244</v>
      </c>
      <c r="AJ77">
        <v>2.4198075291650386E-3</v>
      </c>
      <c r="AK77">
        <v>3.7013254802771385E-3</v>
      </c>
      <c r="AL77">
        <v>1.2815179511120999E-3</v>
      </c>
      <c r="AM77" t="s">
        <v>41</v>
      </c>
      <c r="AN77" t="s">
        <v>144</v>
      </c>
      <c r="AO77" t="s">
        <v>33</v>
      </c>
      <c r="AP77" t="s">
        <v>31</v>
      </c>
      <c r="AQ77">
        <v>1.4990368195122412E-4</v>
      </c>
    </row>
    <row r="78" spans="1:43" x14ac:dyDescent="0.2">
      <c r="A78">
        <v>76</v>
      </c>
      <c r="B78">
        <v>110</v>
      </c>
      <c r="C78">
        <v>6</v>
      </c>
      <c r="F78" t="s">
        <v>29</v>
      </c>
      <c r="G78" t="s">
        <v>532</v>
      </c>
      <c r="I78">
        <v>-1.017070322080305E-6</v>
      </c>
      <c r="J78">
        <v>4.2631305099577999</v>
      </c>
      <c r="K78">
        <v>4.2631305099577999</v>
      </c>
      <c r="L78" s="1"/>
      <c r="M78" s="1"/>
      <c r="N78" s="1">
        <v>43164</v>
      </c>
      <c r="R78">
        <v>8.9476952919579559E-4</v>
      </c>
      <c r="S78">
        <v>8.9476952919579559E-4</v>
      </c>
      <c r="T78" t="s">
        <v>39</v>
      </c>
      <c r="U78" t="s">
        <v>39</v>
      </c>
      <c r="AA78">
        <v>-7.4304221459213114E-4</v>
      </c>
      <c r="AC78" t="s">
        <v>33</v>
      </c>
      <c r="AD78" t="s">
        <v>33</v>
      </c>
      <c r="AF78">
        <v>4.59</v>
      </c>
      <c r="AG78">
        <v>4.59</v>
      </c>
      <c r="AH78" t="s">
        <v>244</v>
      </c>
      <c r="AI78" t="s">
        <v>244</v>
      </c>
      <c r="AJ78">
        <v>-1.1366841280283999E-3</v>
      </c>
      <c r="AK78">
        <v>0</v>
      </c>
      <c r="AL78">
        <v>1.1366841280283999E-3</v>
      </c>
      <c r="AN78" t="s">
        <v>33</v>
      </c>
      <c r="AO78" t="s">
        <v>33</v>
      </c>
    </row>
    <row r="79" spans="1:43" x14ac:dyDescent="0.2">
      <c r="A79">
        <v>77</v>
      </c>
      <c r="B79">
        <v>102</v>
      </c>
      <c r="C79">
        <v>6</v>
      </c>
      <c r="F79" t="s">
        <v>29</v>
      </c>
      <c r="G79" t="s">
        <v>533</v>
      </c>
      <c r="I79">
        <v>8.0719629978552266E-6</v>
      </c>
      <c r="J79">
        <v>7.9877268979332996</v>
      </c>
      <c r="K79">
        <v>7.9877268979332996</v>
      </c>
      <c r="L79" s="1"/>
      <c r="M79" s="1"/>
      <c r="N79" s="1">
        <v>43164</v>
      </c>
      <c r="R79">
        <v>-1.8407209487297778E-3</v>
      </c>
      <c r="S79">
        <v>-1.8407209487297778E-3</v>
      </c>
      <c r="T79" t="s">
        <v>32</v>
      </c>
      <c r="U79" t="s">
        <v>32</v>
      </c>
      <c r="W79" t="s">
        <v>210</v>
      </c>
      <c r="Z79" t="s">
        <v>31</v>
      </c>
      <c r="AA79">
        <v>5.8971431294585703E-3</v>
      </c>
      <c r="AC79" t="s">
        <v>33</v>
      </c>
      <c r="AD79" t="s">
        <v>33</v>
      </c>
      <c r="AE79" t="s">
        <v>41</v>
      </c>
      <c r="AF79">
        <v>2.2200000000000002</v>
      </c>
      <c r="AG79">
        <v>2.2200000000000002</v>
      </c>
      <c r="AH79" t="s">
        <v>244</v>
      </c>
      <c r="AI79" t="s">
        <v>244</v>
      </c>
      <c r="AJ79">
        <v>-4.3852181958517001E-3</v>
      </c>
      <c r="AK79">
        <v>0</v>
      </c>
      <c r="AL79">
        <v>4.3852181958517001E-3</v>
      </c>
      <c r="AM79" t="s">
        <v>41</v>
      </c>
      <c r="AN79" t="s">
        <v>33</v>
      </c>
      <c r="AO79" t="s">
        <v>33</v>
      </c>
      <c r="AP79" t="s">
        <v>31</v>
      </c>
    </row>
    <row r="80" spans="1:43" x14ac:dyDescent="0.2">
      <c r="A80">
        <v>78</v>
      </c>
      <c r="B80">
        <v>95</v>
      </c>
      <c r="C80">
        <v>6</v>
      </c>
      <c r="F80" t="s">
        <v>29</v>
      </c>
      <c r="G80" t="s">
        <v>534</v>
      </c>
      <c r="I80">
        <v>4.8894160938485135E-6</v>
      </c>
      <c r="J80">
        <v>2.161714877274</v>
      </c>
      <c r="K80">
        <v>2.161714877274</v>
      </c>
      <c r="L80" s="1"/>
      <c r="M80" s="1"/>
      <c r="N80" s="1">
        <v>43164</v>
      </c>
      <c r="R80">
        <v>-2.8093124561633931E-3</v>
      </c>
      <c r="S80">
        <v>-2.8093124561633931E-3</v>
      </c>
      <c r="T80" t="s">
        <v>32</v>
      </c>
      <c r="U80" t="s">
        <v>32</v>
      </c>
      <c r="W80" t="s">
        <v>242</v>
      </c>
      <c r="Z80" t="s">
        <v>31</v>
      </c>
      <c r="AA80">
        <v>3.5720662412060352E-3</v>
      </c>
      <c r="AC80" t="s">
        <v>42</v>
      </c>
      <c r="AD80" t="s">
        <v>42</v>
      </c>
      <c r="AE80" t="s">
        <v>41</v>
      </c>
      <c r="AF80">
        <v>1.33</v>
      </c>
      <c r="AG80">
        <v>1.33</v>
      </c>
      <c r="AH80" t="s">
        <v>244</v>
      </c>
      <c r="AI80" t="s">
        <v>244</v>
      </c>
      <c r="AJ80">
        <v>-1.7404315718323E-3</v>
      </c>
      <c r="AK80">
        <v>0</v>
      </c>
      <c r="AL80">
        <v>1.7404315718323E-3</v>
      </c>
      <c r="AM80" t="s">
        <v>41</v>
      </c>
      <c r="AN80" t="s">
        <v>42</v>
      </c>
      <c r="AO80" t="s">
        <v>42</v>
      </c>
      <c r="AP80" t="s">
        <v>31</v>
      </c>
    </row>
    <row r="81" spans="1:43" x14ac:dyDescent="0.2">
      <c r="A81">
        <v>79</v>
      </c>
      <c r="B81">
        <v>95</v>
      </c>
      <c r="C81">
        <v>6</v>
      </c>
      <c r="F81" t="s">
        <v>29</v>
      </c>
      <c r="G81" t="s">
        <v>535</v>
      </c>
      <c r="I81">
        <v>2.0031739538206425E-5</v>
      </c>
      <c r="J81">
        <v>2.9773279462910001</v>
      </c>
      <c r="K81">
        <v>2.9773279462910001</v>
      </c>
      <c r="L81" s="1"/>
      <c r="M81" s="1"/>
      <c r="N81" s="1">
        <v>43164</v>
      </c>
      <c r="R81">
        <v>-2.8093124561633931E-3</v>
      </c>
      <c r="S81">
        <v>-2.8093124561633931E-3</v>
      </c>
      <c r="T81" t="s">
        <v>32</v>
      </c>
      <c r="U81" t="s">
        <v>32</v>
      </c>
      <c r="W81" t="s">
        <v>242</v>
      </c>
      <c r="Z81" t="s">
        <v>31</v>
      </c>
      <c r="AA81">
        <v>1.4634610592271734E-2</v>
      </c>
      <c r="AC81" t="s">
        <v>42</v>
      </c>
      <c r="AD81" t="s">
        <v>42</v>
      </c>
      <c r="AE81" t="s">
        <v>41</v>
      </c>
      <c r="AF81">
        <v>1.56</v>
      </c>
      <c r="AG81">
        <v>1.56</v>
      </c>
      <c r="AH81" t="s">
        <v>244</v>
      </c>
      <c r="AI81" t="s">
        <v>244</v>
      </c>
      <c r="AJ81">
        <v>-7.1304775993352E-3</v>
      </c>
      <c r="AK81">
        <v>0</v>
      </c>
      <c r="AL81">
        <v>7.1304775993352E-3</v>
      </c>
      <c r="AM81" t="s">
        <v>41</v>
      </c>
      <c r="AN81" t="s">
        <v>42</v>
      </c>
      <c r="AO81" t="s">
        <v>42</v>
      </c>
      <c r="AP81" t="s">
        <v>31</v>
      </c>
    </row>
    <row r="82" spans="1:43" x14ac:dyDescent="0.2">
      <c r="A82">
        <v>80</v>
      </c>
      <c r="B82">
        <v>98</v>
      </c>
      <c r="C82">
        <v>6</v>
      </c>
      <c r="F82" t="s">
        <v>29</v>
      </c>
      <c r="G82" t="s">
        <v>536</v>
      </c>
      <c r="I82">
        <v>2.0104108818496175E-5</v>
      </c>
      <c r="J82">
        <v>3.792605165915</v>
      </c>
      <c r="K82">
        <v>3.792605165915</v>
      </c>
      <c r="L82" s="1"/>
      <c r="M82" s="1"/>
      <c r="N82" s="1">
        <v>43164</v>
      </c>
      <c r="R82">
        <v>-4.4913223753632802E-3</v>
      </c>
      <c r="S82">
        <v>-4.4913223753632802E-3</v>
      </c>
      <c r="T82" t="s">
        <v>32</v>
      </c>
      <c r="U82" t="s">
        <v>32</v>
      </c>
      <c r="W82" t="s">
        <v>242</v>
      </c>
      <c r="Z82" t="s">
        <v>31</v>
      </c>
      <c r="AA82">
        <v>1.4687481499157452E-2</v>
      </c>
      <c r="AC82" t="s">
        <v>42</v>
      </c>
      <c r="AD82" t="s">
        <v>42</v>
      </c>
      <c r="AE82" t="s">
        <v>41</v>
      </c>
      <c r="AF82">
        <v>1.68</v>
      </c>
      <c r="AG82">
        <v>1.68</v>
      </c>
      <c r="AH82" t="s">
        <v>244</v>
      </c>
      <c r="AI82" t="s">
        <v>244</v>
      </c>
      <c r="AJ82">
        <v>-4.4762114892431997E-3</v>
      </c>
      <c r="AK82">
        <v>0</v>
      </c>
      <c r="AL82">
        <v>4.4762114892431997E-3</v>
      </c>
      <c r="AM82" t="s">
        <v>41</v>
      </c>
      <c r="AN82" t="s">
        <v>42</v>
      </c>
      <c r="AO82" t="s">
        <v>42</v>
      </c>
      <c r="AP82" t="s">
        <v>31</v>
      </c>
    </row>
    <row r="83" spans="1:43" x14ac:dyDescent="0.2">
      <c r="A83">
        <v>81</v>
      </c>
      <c r="B83">
        <v>98</v>
      </c>
      <c r="C83">
        <v>6</v>
      </c>
      <c r="F83" t="s">
        <v>29</v>
      </c>
      <c r="G83" t="s">
        <v>537</v>
      </c>
      <c r="I83">
        <v>2.0181145803927036E-5</v>
      </c>
      <c r="J83">
        <v>4.0282542450336001</v>
      </c>
      <c r="K83">
        <v>4.0282542450336001</v>
      </c>
      <c r="L83" s="1"/>
      <c r="M83" s="1"/>
      <c r="N83" s="1">
        <v>43164</v>
      </c>
      <c r="R83">
        <v>-4.4913223753632802E-3</v>
      </c>
      <c r="S83">
        <v>-4.4913223753632802E-3</v>
      </c>
      <c r="T83" t="s">
        <v>32</v>
      </c>
      <c r="U83" t="s">
        <v>32</v>
      </c>
      <c r="W83" t="s">
        <v>242</v>
      </c>
      <c r="Z83" t="s">
        <v>31</v>
      </c>
      <c r="AA83">
        <v>1.4743762496663079E-2</v>
      </c>
      <c r="AC83" t="s">
        <v>42</v>
      </c>
      <c r="AD83" t="s">
        <v>42</v>
      </c>
      <c r="AE83" t="s">
        <v>41</v>
      </c>
      <c r="AF83">
        <v>1.68</v>
      </c>
      <c r="AG83">
        <v>1.68</v>
      </c>
      <c r="AH83" t="s">
        <v>244</v>
      </c>
      <c r="AI83" t="s">
        <v>244</v>
      </c>
      <c r="AJ83">
        <v>-4.4933638953705002E-3</v>
      </c>
      <c r="AK83">
        <v>0</v>
      </c>
      <c r="AL83">
        <v>4.4933638953705002E-3</v>
      </c>
      <c r="AM83" t="s">
        <v>41</v>
      </c>
      <c r="AN83" t="s">
        <v>42</v>
      </c>
      <c r="AO83" t="s">
        <v>42</v>
      </c>
      <c r="AP83" t="s">
        <v>31</v>
      </c>
    </row>
    <row r="84" spans="1:43" x14ac:dyDescent="0.2">
      <c r="A84">
        <v>82</v>
      </c>
      <c r="B84">
        <v>92</v>
      </c>
      <c r="C84">
        <v>6</v>
      </c>
      <c r="D84">
        <v>8000</v>
      </c>
      <c r="E84" t="s">
        <v>318</v>
      </c>
      <c r="F84" t="s">
        <v>29</v>
      </c>
      <c r="G84" t="s">
        <v>319</v>
      </c>
      <c r="H84">
        <v>2.4617248678292399E-4</v>
      </c>
      <c r="I84">
        <v>1.538485366562835E-6</v>
      </c>
      <c r="J84">
        <v>7.0000000000000007E-2</v>
      </c>
      <c r="K84">
        <v>7.3972602739726001E-2</v>
      </c>
      <c r="L84" s="1">
        <v>43191</v>
      </c>
      <c r="M84" s="1">
        <v>43165</v>
      </c>
      <c r="N84" s="1">
        <v>43164</v>
      </c>
      <c r="R84">
        <v>-2.293432873749072E-3</v>
      </c>
      <c r="S84">
        <v>-2.293432873749072E-3</v>
      </c>
      <c r="T84" t="s">
        <v>32</v>
      </c>
      <c r="U84" t="s">
        <v>32</v>
      </c>
      <c r="V84">
        <v>219255252</v>
      </c>
      <c r="W84" t="s">
        <v>242</v>
      </c>
      <c r="X84" t="s">
        <v>320</v>
      </c>
      <c r="Y84">
        <v>8000</v>
      </c>
      <c r="Z84" t="s">
        <v>31</v>
      </c>
      <c r="AA84">
        <v>1.1239729928902349E-3</v>
      </c>
      <c r="AB84">
        <v>100.18</v>
      </c>
      <c r="AC84" t="s">
        <v>42</v>
      </c>
      <c r="AD84" t="s">
        <v>42</v>
      </c>
      <c r="AE84" t="s">
        <v>41</v>
      </c>
      <c r="AF84">
        <v>7.3714849139223285E-2</v>
      </c>
      <c r="AG84">
        <v>0.64</v>
      </c>
      <c r="AH84" t="s">
        <v>244</v>
      </c>
      <c r="AI84" t="s">
        <v>244</v>
      </c>
      <c r="AJ84">
        <v>-6.7082206075117206E-4</v>
      </c>
      <c r="AK84">
        <v>3.5167498111846277E-3</v>
      </c>
      <c r="AL84">
        <v>4.1875718719357998E-3</v>
      </c>
      <c r="AM84" t="s">
        <v>41</v>
      </c>
      <c r="AN84" t="s">
        <v>138</v>
      </c>
      <c r="AO84" t="s">
        <v>42</v>
      </c>
      <c r="AP84" t="s">
        <v>31</v>
      </c>
      <c r="AQ84">
        <v>2.5923668179186682E-4</v>
      </c>
    </row>
    <row r="85" spans="1:43" x14ac:dyDescent="0.2">
      <c r="A85">
        <v>83</v>
      </c>
      <c r="B85">
        <v>98</v>
      </c>
      <c r="C85">
        <v>6</v>
      </c>
      <c r="F85" t="s">
        <v>29</v>
      </c>
      <c r="G85" t="s">
        <v>538</v>
      </c>
      <c r="I85">
        <v>2.0539066702711477E-5</v>
      </c>
      <c r="J85">
        <v>4.7132686676519002</v>
      </c>
      <c r="K85">
        <v>4.7132686676519002</v>
      </c>
      <c r="L85" s="1"/>
      <c r="M85" s="1"/>
      <c r="N85" s="1">
        <v>43164</v>
      </c>
      <c r="R85">
        <v>-4.4913223753632802E-3</v>
      </c>
      <c r="S85">
        <v>-4.4913223753632802E-3</v>
      </c>
      <c r="T85" t="s">
        <v>32</v>
      </c>
      <c r="U85" t="s">
        <v>32</v>
      </c>
      <c r="W85" t="s">
        <v>242</v>
      </c>
      <c r="Z85" t="s">
        <v>31</v>
      </c>
      <c r="AA85">
        <v>1.5005249172173997E-2</v>
      </c>
      <c r="AC85" t="s">
        <v>42</v>
      </c>
      <c r="AD85" t="s">
        <v>42</v>
      </c>
      <c r="AE85" t="s">
        <v>41</v>
      </c>
      <c r="AF85">
        <v>1.74</v>
      </c>
      <c r="AG85">
        <v>1.74</v>
      </c>
      <c r="AH85" t="s">
        <v>244</v>
      </c>
      <c r="AI85" t="s">
        <v>244</v>
      </c>
      <c r="AJ85">
        <v>-4.5730555471538998E-3</v>
      </c>
      <c r="AK85">
        <v>0</v>
      </c>
      <c r="AL85">
        <v>4.5730555471538998E-3</v>
      </c>
      <c r="AM85" t="s">
        <v>41</v>
      </c>
      <c r="AN85" t="s">
        <v>42</v>
      </c>
      <c r="AO85" t="s">
        <v>42</v>
      </c>
      <c r="AP85" t="s">
        <v>31</v>
      </c>
    </row>
    <row r="86" spans="1:43" x14ac:dyDescent="0.2">
      <c r="A86">
        <v>84</v>
      </c>
      <c r="B86">
        <v>92</v>
      </c>
      <c r="C86">
        <v>6</v>
      </c>
      <c r="F86" t="s">
        <v>29</v>
      </c>
      <c r="G86" t="s">
        <v>321</v>
      </c>
      <c r="I86">
        <v>9.5931825626599708E-6</v>
      </c>
      <c r="J86">
        <v>0.24109589041096</v>
      </c>
      <c r="K86">
        <v>0.24109589041096</v>
      </c>
      <c r="L86" s="1"/>
      <c r="M86" s="1"/>
      <c r="N86" s="1">
        <v>43164</v>
      </c>
      <c r="R86">
        <v>-2.293432873749072E-3</v>
      </c>
      <c r="S86">
        <v>-2.293432873749072E-3</v>
      </c>
      <c r="T86" t="s">
        <v>32</v>
      </c>
      <c r="U86" t="s">
        <v>32</v>
      </c>
      <c r="W86" t="s">
        <v>242</v>
      </c>
      <c r="Z86" t="s">
        <v>31</v>
      </c>
      <c r="AA86">
        <v>7.0085022260463351E-3</v>
      </c>
      <c r="AC86" t="s">
        <v>42</v>
      </c>
      <c r="AD86" t="s">
        <v>42</v>
      </c>
      <c r="AE86" t="s">
        <v>41</v>
      </c>
      <c r="AF86">
        <v>0.52</v>
      </c>
      <c r="AG86">
        <v>0.52</v>
      </c>
      <c r="AH86" t="s">
        <v>244</v>
      </c>
      <c r="AI86" t="s">
        <v>244</v>
      </c>
      <c r="AJ86">
        <v>-4.1828922365527996E-3</v>
      </c>
      <c r="AK86">
        <v>0</v>
      </c>
      <c r="AL86">
        <v>4.1828922365527996E-3</v>
      </c>
      <c r="AM86" t="s">
        <v>41</v>
      </c>
      <c r="AN86" t="s">
        <v>42</v>
      </c>
      <c r="AO86" t="s">
        <v>42</v>
      </c>
      <c r="AP86" t="s">
        <v>31</v>
      </c>
    </row>
    <row r="87" spans="1:43" x14ac:dyDescent="0.2">
      <c r="A87">
        <v>85</v>
      </c>
      <c r="B87">
        <v>92</v>
      </c>
      <c r="C87">
        <v>6</v>
      </c>
      <c r="F87" t="s">
        <v>29</v>
      </c>
      <c r="G87" t="s">
        <v>539</v>
      </c>
      <c r="I87">
        <v>9.7169624888598221E-6</v>
      </c>
      <c r="J87">
        <v>0.56682767895296005</v>
      </c>
      <c r="K87">
        <v>0.56682767895296005</v>
      </c>
      <c r="L87" s="1"/>
      <c r="M87" s="1"/>
      <c r="N87" s="1">
        <v>43164</v>
      </c>
      <c r="R87">
        <v>-2.293432873749072E-3</v>
      </c>
      <c r="S87">
        <v>-2.293432873749072E-3</v>
      </c>
      <c r="T87" t="s">
        <v>32</v>
      </c>
      <c r="U87" t="s">
        <v>32</v>
      </c>
      <c r="W87" t="s">
        <v>242</v>
      </c>
      <c r="Z87" t="s">
        <v>31</v>
      </c>
      <c r="AA87">
        <v>7.098932266613703E-3</v>
      </c>
      <c r="AC87" t="s">
        <v>42</v>
      </c>
      <c r="AD87" t="s">
        <v>42</v>
      </c>
      <c r="AE87" t="s">
        <v>41</v>
      </c>
      <c r="AF87">
        <v>0.9</v>
      </c>
      <c r="AG87">
        <v>0.9</v>
      </c>
      <c r="AH87" t="s">
        <v>244</v>
      </c>
      <c r="AI87" t="s">
        <v>244</v>
      </c>
      <c r="AJ87">
        <v>-4.2368636989908995E-3</v>
      </c>
      <c r="AK87">
        <v>0</v>
      </c>
      <c r="AL87">
        <v>4.2368636989908995E-3</v>
      </c>
      <c r="AM87" t="s">
        <v>41</v>
      </c>
      <c r="AN87" t="s">
        <v>42</v>
      </c>
      <c r="AO87" t="s">
        <v>42</v>
      </c>
      <c r="AP87" t="s">
        <v>31</v>
      </c>
    </row>
    <row r="88" spans="1:43" x14ac:dyDescent="0.2">
      <c r="A88">
        <v>86</v>
      </c>
      <c r="B88">
        <v>95</v>
      </c>
      <c r="C88">
        <v>6</v>
      </c>
      <c r="F88" t="s">
        <v>29</v>
      </c>
      <c r="G88" t="s">
        <v>362</v>
      </c>
      <c r="I88">
        <v>9.5644869873331702E-6</v>
      </c>
      <c r="J88">
        <v>1.0522727381985</v>
      </c>
      <c r="K88">
        <v>1.0522727381985</v>
      </c>
      <c r="L88" s="1"/>
      <c r="M88" s="1"/>
      <c r="N88" s="1">
        <v>43164</v>
      </c>
      <c r="R88">
        <v>-2.8093124561633931E-3</v>
      </c>
      <c r="S88">
        <v>-2.8093124561633931E-3</v>
      </c>
      <c r="T88" t="s">
        <v>32</v>
      </c>
      <c r="U88" t="s">
        <v>32</v>
      </c>
      <c r="W88" t="s">
        <v>242</v>
      </c>
      <c r="Z88" t="s">
        <v>31</v>
      </c>
      <c r="AA88">
        <v>6.9875380671509998E-3</v>
      </c>
      <c r="AC88" t="s">
        <v>42</v>
      </c>
      <c r="AD88" t="s">
        <v>42</v>
      </c>
      <c r="AE88" t="s">
        <v>41</v>
      </c>
      <c r="AF88">
        <v>1.08</v>
      </c>
      <c r="AG88">
        <v>1.08</v>
      </c>
      <c r="AH88" t="s">
        <v>244</v>
      </c>
      <c r="AI88" t="s">
        <v>244</v>
      </c>
      <c r="AJ88">
        <v>-3.4045650445003002E-3</v>
      </c>
      <c r="AK88">
        <v>0</v>
      </c>
      <c r="AL88">
        <v>3.4045650445003002E-3</v>
      </c>
      <c r="AM88" t="s">
        <v>41</v>
      </c>
      <c r="AN88" t="s">
        <v>42</v>
      </c>
      <c r="AO88" t="s">
        <v>42</v>
      </c>
      <c r="AP88" t="s">
        <v>31</v>
      </c>
    </row>
    <row r="89" spans="1:43" x14ac:dyDescent="0.2">
      <c r="A89">
        <v>87</v>
      </c>
      <c r="B89">
        <v>95</v>
      </c>
      <c r="C89">
        <v>6</v>
      </c>
      <c r="F89" t="s">
        <v>29</v>
      </c>
      <c r="G89" t="s">
        <v>540</v>
      </c>
      <c r="I89">
        <v>9.6262521249475936E-6</v>
      </c>
      <c r="J89">
        <v>1.6171383401335</v>
      </c>
      <c r="K89">
        <v>1.6171383401335</v>
      </c>
      <c r="L89" s="1"/>
      <c r="M89" s="1"/>
      <c r="N89" s="1">
        <v>43164</v>
      </c>
      <c r="R89">
        <v>-2.8093124561633931E-3</v>
      </c>
      <c r="S89">
        <v>-2.8093124561633931E-3</v>
      </c>
      <c r="T89" t="s">
        <v>32</v>
      </c>
      <c r="U89" t="s">
        <v>32</v>
      </c>
      <c r="W89" t="s">
        <v>242</v>
      </c>
      <c r="Z89" t="s">
        <v>31</v>
      </c>
      <c r="AA89">
        <v>7.0326618935386753E-3</v>
      </c>
      <c r="AC89" t="s">
        <v>42</v>
      </c>
      <c r="AD89" t="s">
        <v>42</v>
      </c>
      <c r="AE89" t="s">
        <v>41</v>
      </c>
      <c r="AF89">
        <v>1.18</v>
      </c>
      <c r="AG89">
        <v>1.18</v>
      </c>
      <c r="AH89" t="s">
        <v>244</v>
      </c>
      <c r="AI89" t="s">
        <v>244</v>
      </c>
      <c r="AJ89">
        <v>-3.4265508999643001E-3</v>
      </c>
      <c r="AK89">
        <v>0</v>
      </c>
      <c r="AL89">
        <v>3.4265508999643001E-3</v>
      </c>
      <c r="AM89" t="s">
        <v>41</v>
      </c>
      <c r="AN89" t="s">
        <v>42</v>
      </c>
      <c r="AO89" t="s">
        <v>42</v>
      </c>
      <c r="AP89" t="s">
        <v>31</v>
      </c>
    </row>
    <row r="90" spans="1:43" x14ac:dyDescent="0.2">
      <c r="A90">
        <v>88</v>
      </c>
      <c r="B90">
        <v>101</v>
      </c>
      <c r="C90">
        <v>6</v>
      </c>
      <c r="F90" t="s">
        <v>29</v>
      </c>
      <c r="G90" t="s">
        <v>541</v>
      </c>
      <c r="I90">
        <v>2.015406764337631E-5</v>
      </c>
      <c r="J90">
        <v>5.5541069046081999</v>
      </c>
      <c r="K90">
        <v>5.5541069046081999</v>
      </c>
      <c r="L90" s="1"/>
      <c r="M90" s="1"/>
      <c r="N90" s="1">
        <v>43164</v>
      </c>
      <c r="R90">
        <v>-5.6906384243591525E-3</v>
      </c>
      <c r="S90">
        <v>-5.6906384243591525E-3</v>
      </c>
      <c r="T90" t="s">
        <v>32</v>
      </c>
      <c r="U90" t="s">
        <v>32</v>
      </c>
      <c r="W90" t="s">
        <v>242</v>
      </c>
      <c r="Z90" t="s">
        <v>31</v>
      </c>
      <c r="AA90">
        <v>1.472397997430854E-2</v>
      </c>
      <c r="AC90" t="s">
        <v>42</v>
      </c>
      <c r="AD90" t="s">
        <v>42</v>
      </c>
      <c r="AE90" t="s">
        <v>41</v>
      </c>
      <c r="AF90">
        <v>1.91</v>
      </c>
      <c r="AG90">
        <v>1.91</v>
      </c>
      <c r="AH90" t="s">
        <v>244</v>
      </c>
      <c r="AI90" t="s">
        <v>244</v>
      </c>
      <c r="AJ90">
        <v>-3.5416180295527997E-3</v>
      </c>
      <c r="AK90">
        <v>0</v>
      </c>
      <c r="AL90">
        <v>3.5416180295527997E-3</v>
      </c>
      <c r="AM90" t="s">
        <v>41</v>
      </c>
      <c r="AN90" t="s">
        <v>42</v>
      </c>
      <c r="AO90" t="s">
        <v>42</v>
      </c>
      <c r="AP90" t="s">
        <v>31</v>
      </c>
    </row>
    <row r="91" spans="1:43" x14ac:dyDescent="0.2">
      <c r="A91">
        <v>89</v>
      </c>
      <c r="B91">
        <v>101</v>
      </c>
      <c r="C91">
        <v>6</v>
      </c>
      <c r="D91">
        <v>11000</v>
      </c>
      <c r="E91" t="s">
        <v>318</v>
      </c>
      <c r="F91" t="s">
        <v>29</v>
      </c>
      <c r="G91" t="s">
        <v>542</v>
      </c>
      <c r="H91">
        <v>2.9777892346840935E-2</v>
      </c>
      <c r="I91">
        <v>-3.9011465064953751E-6</v>
      </c>
      <c r="J91">
        <v>5.88</v>
      </c>
      <c r="K91">
        <v>5.8874402693381001</v>
      </c>
      <c r="L91" s="1">
        <v>45505</v>
      </c>
      <c r="M91" s="1">
        <v>43165</v>
      </c>
      <c r="N91" s="1">
        <v>43164</v>
      </c>
      <c r="R91">
        <v>-5.6906384243591525E-3</v>
      </c>
      <c r="S91">
        <v>-5.6906384243591525E-3</v>
      </c>
      <c r="T91" t="s">
        <v>32</v>
      </c>
      <c r="U91" t="s">
        <v>32</v>
      </c>
      <c r="V91">
        <v>315736770</v>
      </c>
      <c r="W91" t="s">
        <v>242</v>
      </c>
      <c r="X91" t="s">
        <v>320</v>
      </c>
      <c r="Y91">
        <v>11000</v>
      </c>
      <c r="Z91" t="s">
        <v>31</v>
      </c>
      <c r="AA91">
        <v>-2.8500650119312053E-3</v>
      </c>
      <c r="AB91">
        <v>106.21</v>
      </c>
      <c r="AC91" t="s">
        <v>42</v>
      </c>
      <c r="AD91" t="s">
        <v>42</v>
      </c>
      <c r="AE91" t="s">
        <v>41</v>
      </c>
      <c r="AF91">
        <v>8.4714849139223281E-2</v>
      </c>
      <c r="AG91">
        <v>1.97</v>
      </c>
      <c r="AH91" t="s">
        <v>244</v>
      </c>
      <c r="AI91" t="s">
        <v>244</v>
      </c>
      <c r="AJ91">
        <v>6.8553758217992922E-4</v>
      </c>
      <c r="AK91">
        <v>5.0642674059253288E-3</v>
      </c>
      <c r="AL91">
        <v>4.3787298237453996E-3</v>
      </c>
      <c r="AM91" t="s">
        <v>41</v>
      </c>
      <c r="AN91" t="s">
        <v>138</v>
      </c>
      <c r="AO91" t="s">
        <v>42</v>
      </c>
      <c r="AP91" t="s">
        <v>31</v>
      </c>
      <c r="AQ91">
        <v>4.2901864929364986E-4</v>
      </c>
    </row>
    <row r="92" spans="1:43" x14ac:dyDescent="0.2">
      <c r="A92">
        <v>90</v>
      </c>
      <c r="B92">
        <v>95</v>
      </c>
      <c r="C92">
        <v>6</v>
      </c>
      <c r="F92" t="s">
        <v>29</v>
      </c>
      <c r="G92" t="s">
        <v>543</v>
      </c>
      <c r="I92">
        <v>1.1887322234091084E-5</v>
      </c>
      <c r="J92">
        <v>1.3865364297591001</v>
      </c>
      <c r="K92">
        <v>1.3865364297591001</v>
      </c>
      <c r="L92" s="1"/>
      <c r="M92" s="1"/>
      <c r="N92" s="1">
        <v>43164</v>
      </c>
      <c r="R92">
        <v>-2.8093124561633931E-3</v>
      </c>
      <c r="S92">
        <v>-2.8093124561633931E-3</v>
      </c>
      <c r="T92" t="s">
        <v>32</v>
      </c>
      <c r="U92" t="s">
        <v>32</v>
      </c>
      <c r="W92" t="s">
        <v>242</v>
      </c>
      <c r="Z92" t="s">
        <v>31</v>
      </c>
      <c r="AA92">
        <v>8.6845344384081907E-3</v>
      </c>
      <c r="AC92" t="s">
        <v>42</v>
      </c>
      <c r="AD92" t="s">
        <v>42</v>
      </c>
      <c r="AE92" t="s">
        <v>41</v>
      </c>
      <c r="AF92">
        <v>1.21</v>
      </c>
      <c r="AG92">
        <v>1.21</v>
      </c>
      <c r="AH92" t="s">
        <v>244</v>
      </c>
      <c r="AI92" t="s">
        <v>244</v>
      </c>
      <c r="AJ92">
        <v>-4.2313991126232001E-3</v>
      </c>
      <c r="AK92">
        <v>0</v>
      </c>
      <c r="AL92">
        <v>4.2313991126232001E-3</v>
      </c>
      <c r="AM92" t="s">
        <v>41</v>
      </c>
      <c r="AN92" t="s">
        <v>42</v>
      </c>
      <c r="AO92" t="s">
        <v>42</v>
      </c>
      <c r="AP92" t="s">
        <v>31</v>
      </c>
    </row>
    <row r="93" spans="1:43" x14ac:dyDescent="0.2">
      <c r="A93">
        <v>91</v>
      </c>
      <c r="B93">
        <v>101</v>
      </c>
      <c r="C93">
        <v>6</v>
      </c>
      <c r="D93">
        <v>17000</v>
      </c>
      <c r="E93" t="s">
        <v>318</v>
      </c>
      <c r="F93" t="s">
        <v>29</v>
      </c>
      <c r="G93" t="s">
        <v>544</v>
      </c>
      <c r="H93">
        <v>5.1113034377534984E-2</v>
      </c>
      <c r="I93">
        <v>-1.9901409618788004E-5</v>
      </c>
      <c r="J93">
        <v>6.46</v>
      </c>
      <c r="K93">
        <v>6.4629156734214002</v>
      </c>
      <c r="L93" s="1">
        <v>45778</v>
      </c>
      <c r="M93" s="1">
        <v>43165</v>
      </c>
      <c r="N93" s="1">
        <v>43164</v>
      </c>
      <c r="R93">
        <v>-5.6906384243591525E-3</v>
      </c>
      <c r="S93">
        <v>-5.6906384243591525E-3</v>
      </c>
      <c r="T93" t="s">
        <v>32</v>
      </c>
      <c r="U93" t="s">
        <v>32</v>
      </c>
      <c r="V93">
        <v>493296096</v>
      </c>
      <c r="W93" t="s">
        <v>242</v>
      </c>
      <c r="X93" t="s">
        <v>320</v>
      </c>
      <c r="Y93">
        <v>17000</v>
      </c>
      <c r="Z93" t="s">
        <v>31</v>
      </c>
      <c r="AA93">
        <v>-1.4539395315756537E-2</v>
      </c>
      <c r="AB93">
        <v>106.57</v>
      </c>
      <c r="AC93" t="s">
        <v>42</v>
      </c>
      <c r="AD93" t="s">
        <v>42</v>
      </c>
      <c r="AE93" t="s">
        <v>41</v>
      </c>
      <c r="AF93">
        <v>8.5114849139223292E-2</v>
      </c>
      <c r="AG93">
        <v>2</v>
      </c>
      <c r="AH93" t="s">
        <v>244</v>
      </c>
      <c r="AI93" t="s">
        <v>244</v>
      </c>
      <c r="AJ93">
        <v>3.497219140404126E-3</v>
      </c>
      <c r="AK93">
        <v>7.9122344237670256E-3</v>
      </c>
      <c r="AL93">
        <v>4.4150152833628995E-3</v>
      </c>
      <c r="AM93" t="s">
        <v>41</v>
      </c>
      <c r="AN93" t="s">
        <v>138</v>
      </c>
      <c r="AO93" t="s">
        <v>42</v>
      </c>
      <c r="AP93" t="s">
        <v>31</v>
      </c>
      <c r="AQ93">
        <v>6.7344863933309969E-4</v>
      </c>
    </row>
    <row r="94" spans="1:43" x14ac:dyDescent="0.2">
      <c r="A94">
        <v>92</v>
      </c>
      <c r="B94">
        <v>101</v>
      </c>
      <c r="C94">
        <v>6</v>
      </c>
      <c r="D94">
        <v>15000</v>
      </c>
      <c r="E94" t="s">
        <v>318</v>
      </c>
      <c r="F94" t="s">
        <v>29</v>
      </c>
      <c r="G94" t="s">
        <v>545</v>
      </c>
      <c r="H94">
        <v>4.7409044415109208E-2</v>
      </c>
      <c r="I94">
        <v>-1.4615721289561092E-5</v>
      </c>
      <c r="J94">
        <v>6.78</v>
      </c>
      <c r="K94">
        <v>6.7857909076849001</v>
      </c>
      <c r="L94" s="1">
        <v>45931</v>
      </c>
      <c r="M94" s="1">
        <v>43165</v>
      </c>
      <c r="N94" s="1">
        <v>43164</v>
      </c>
      <c r="R94">
        <v>-5.6906384243591525E-3</v>
      </c>
      <c r="S94">
        <v>-5.6906384243591525E-3</v>
      </c>
      <c r="T94" t="s">
        <v>32</v>
      </c>
      <c r="U94" t="s">
        <v>32</v>
      </c>
      <c r="V94">
        <v>435953371</v>
      </c>
      <c r="W94" t="s">
        <v>242</v>
      </c>
      <c r="X94" t="s">
        <v>320</v>
      </c>
      <c r="Y94">
        <v>15000</v>
      </c>
      <c r="Z94" t="s">
        <v>31</v>
      </c>
      <c r="AA94">
        <v>-1.0677824019723338E-2</v>
      </c>
      <c r="AB94">
        <v>106.47</v>
      </c>
      <c r="AC94" t="s">
        <v>42</v>
      </c>
      <c r="AD94" t="s">
        <v>42</v>
      </c>
      <c r="AE94" t="s">
        <v>41</v>
      </c>
      <c r="AF94">
        <v>8.5714849139223281E-2</v>
      </c>
      <c r="AG94">
        <v>2.0499999999999998</v>
      </c>
      <c r="AH94" t="s">
        <v>244</v>
      </c>
      <c r="AI94" t="s">
        <v>244</v>
      </c>
      <c r="AJ94">
        <v>2.5683798898551583E-3</v>
      </c>
      <c r="AK94">
        <v>6.9924844270072579E-3</v>
      </c>
      <c r="AL94">
        <v>4.4241045371520996E-3</v>
      </c>
      <c r="AM94" t="s">
        <v>41</v>
      </c>
      <c r="AN94" t="s">
        <v>138</v>
      </c>
      <c r="AO94" t="s">
        <v>42</v>
      </c>
      <c r="AP94" t="s">
        <v>31</v>
      </c>
      <c r="AQ94">
        <v>5.9935974776929521E-4</v>
      </c>
    </row>
    <row r="95" spans="1:43" x14ac:dyDescent="0.2">
      <c r="A95">
        <v>93</v>
      </c>
      <c r="B95">
        <v>101</v>
      </c>
      <c r="C95">
        <v>6</v>
      </c>
      <c r="F95" t="s">
        <v>29</v>
      </c>
      <c r="G95" t="s">
        <v>546</v>
      </c>
      <c r="I95">
        <v>2.4950257751370357E-5</v>
      </c>
      <c r="J95">
        <v>7.4310655806051003</v>
      </c>
      <c r="K95">
        <v>7.4310655806051003</v>
      </c>
      <c r="L95" s="1"/>
      <c r="M95" s="1"/>
      <c r="N95" s="1">
        <v>43164</v>
      </c>
      <c r="R95">
        <v>-5.6906384243591525E-3</v>
      </c>
      <c r="S95">
        <v>-5.6906384243591525E-3</v>
      </c>
      <c r="T95" t="s">
        <v>32</v>
      </c>
      <c r="U95" t="s">
        <v>32</v>
      </c>
      <c r="AA95">
        <v>1.8227938001674306E-2</v>
      </c>
      <c r="AC95" t="s">
        <v>42</v>
      </c>
      <c r="AD95" t="s">
        <v>42</v>
      </c>
      <c r="AF95">
        <v>2.14</v>
      </c>
      <c r="AG95">
        <v>2.14</v>
      </c>
      <c r="AH95" t="s">
        <v>244</v>
      </c>
      <c r="AI95" t="s">
        <v>244</v>
      </c>
      <c r="AJ95">
        <v>-4.3844391245398996E-3</v>
      </c>
      <c r="AK95">
        <v>0</v>
      </c>
      <c r="AL95">
        <v>4.3844391245398996E-3</v>
      </c>
      <c r="AN95" t="s">
        <v>42</v>
      </c>
      <c r="AO95" t="s">
        <v>42</v>
      </c>
    </row>
    <row r="96" spans="1:43" x14ac:dyDescent="0.2">
      <c r="A96">
        <v>94</v>
      </c>
      <c r="B96">
        <v>101</v>
      </c>
      <c r="C96">
        <v>6</v>
      </c>
      <c r="F96" t="s">
        <v>29</v>
      </c>
      <c r="G96" t="s">
        <v>547</v>
      </c>
      <c r="I96">
        <v>2.3696409423474424E-5</v>
      </c>
      <c r="J96">
        <v>8.1717816616073993</v>
      </c>
      <c r="K96">
        <v>8.1717816616073993</v>
      </c>
      <c r="L96" s="1"/>
      <c r="M96" s="1"/>
      <c r="N96" s="1">
        <v>43164</v>
      </c>
      <c r="R96">
        <v>-5.6906384243591525E-3</v>
      </c>
      <c r="S96">
        <v>-5.6906384243591525E-3</v>
      </c>
      <c r="T96" t="s">
        <v>32</v>
      </c>
      <c r="U96" t="s">
        <v>32</v>
      </c>
      <c r="AA96">
        <v>1.7311912611790915E-2</v>
      </c>
      <c r="AC96" t="s">
        <v>42</v>
      </c>
      <c r="AD96" t="s">
        <v>42</v>
      </c>
      <c r="AF96">
        <v>2.21</v>
      </c>
      <c r="AG96">
        <v>2.21</v>
      </c>
      <c r="AH96" t="s">
        <v>244</v>
      </c>
      <c r="AI96" t="s">
        <v>244</v>
      </c>
      <c r="AJ96">
        <v>-4.1641038590750001E-3</v>
      </c>
      <c r="AK96">
        <v>0</v>
      </c>
      <c r="AL96">
        <v>4.1641038590750001E-3</v>
      </c>
      <c r="AN96" t="s">
        <v>42</v>
      </c>
      <c r="AO96" t="s">
        <v>42</v>
      </c>
    </row>
    <row r="97" spans="1:43" x14ac:dyDescent="0.2">
      <c r="A97">
        <v>95</v>
      </c>
      <c r="B97">
        <v>104</v>
      </c>
      <c r="C97">
        <v>6</v>
      </c>
      <c r="D97">
        <v>100000000</v>
      </c>
      <c r="E97" t="s">
        <v>348</v>
      </c>
      <c r="F97" t="s">
        <v>29</v>
      </c>
      <c r="G97" t="s">
        <v>414</v>
      </c>
      <c r="H97">
        <v>1.7797332380065006E-4</v>
      </c>
      <c r="I97">
        <v>3.1997718247611172E-8</v>
      </c>
      <c r="J97">
        <v>0.27</v>
      </c>
      <c r="L97" s="1">
        <v>43358</v>
      </c>
      <c r="M97" s="1">
        <v>43165</v>
      </c>
      <c r="N97" s="1"/>
      <c r="R97">
        <v>4.8543139737796264E-5</v>
      </c>
      <c r="T97" t="s">
        <v>39</v>
      </c>
      <c r="V97">
        <v>41096012</v>
      </c>
      <c r="W97" t="s">
        <v>350</v>
      </c>
      <c r="X97" t="s">
        <v>351</v>
      </c>
      <c r="Y97">
        <v>100000000</v>
      </c>
      <c r="Z97" t="s">
        <v>31</v>
      </c>
      <c r="AA97">
        <v>2.3376609180739413E-5</v>
      </c>
      <c r="AB97">
        <v>100.32</v>
      </c>
      <c r="AC97" t="s">
        <v>34</v>
      </c>
      <c r="AE97" t="s">
        <v>41</v>
      </c>
      <c r="AF97">
        <v>4.0099999999999997E-2</v>
      </c>
      <c r="AH97" t="s">
        <v>244</v>
      </c>
      <c r="AJ97">
        <v>6.5916045852092609E-4</v>
      </c>
      <c r="AK97">
        <v>6.5916045852092609E-4</v>
      </c>
      <c r="AL97">
        <v>0</v>
      </c>
      <c r="AN97" t="s">
        <v>50</v>
      </c>
      <c r="AQ97">
        <v>2.6432334386689135E-5</v>
      </c>
    </row>
    <row r="98" spans="1:43" x14ac:dyDescent="0.2">
      <c r="A98">
        <v>96</v>
      </c>
      <c r="B98">
        <v>93</v>
      </c>
      <c r="C98">
        <v>6</v>
      </c>
      <c r="D98">
        <v>6000</v>
      </c>
      <c r="E98" t="s">
        <v>348</v>
      </c>
      <c r="F98" t="s">
        <v>29</v>
      </c>
      <c r="G98" t="s">
        <v>349</v>
      </c>
      <c r="H98">
        <v>1.1606763053222601E-3</v>
      </c>
      <c r="I98">
        <v>-2.5866786181962782E-6</v>
      </c>
      <c r="J98">
        <v>0.73</v>
      </c>
      <c r="K98">
        <v>0.73159787114489006</v>
      </c>
      <c r="L98" s="1">
        <v>43617</v>
      </c>
      <c r="M98" s="1">
        <v>43165</v>
      </c>
      <c r="N98" s="1">
        <v>43164</v>
      </c>
      <c r="R98">
        <v>-2.1922679503766566E-3</v>
      </c>
      <c r="S98">
        <v>-2.1922679503766566E-3</v>
      </c>
      <c r="T98" t="s">
        <v>32</v>
      </c>
      <c r="U98" t="s">
        <v>32</v>
      </c>
      <c r="V98">
        <v>99128102</v>
      </c>
      <c r="W98" t="s">
        <v>350</v>
      </c>
      <c r="X98" t="s">
        <v>351</v>
      </c>
      <c r="Y98">
        <v>6000</v>
      </c>
      <c r="Z98" t="s">
        <v>31</v>
      </c>
      <c r="AA98">
        <v>-1.8897527212979868E-3</v>
      </c>
      <c r="AB98">
        <v>101.18</v>
      </c>
      <c r="AC98" t="s">
        <v>34</v>
      </c>
      <c r="AD98" t="s">
        <v>34</v>
      </c>
      <c r="AE98" t="s">
        <v>41</v>
      </c>
      <c r="AF98">
        <v>8.5914849139223287E-2</v>
      </c>
      <c r="AG98">
        <v>2.42</v>
      </c>
      <c r="AH98" t="s">
        <v>244</v>
      </c>
      <c r="AI98" t="s">
        <v>244</v>
      </c>
      <c r="AJ98">
        <v>1.1799098817970026E-3</v>
      </c>
      <c r="AK98">
        <v>1.5899675415373426E-3</v>
      </c>
      <c r="AL98">
        <v>4.1005765974034002E-4</v>
      </c>
      <c r="AM98" t="s">
        <v>41</v>
      </c>
      <c r="AN98" t="s">
        <v>50</v>
      </c>
      <c r="AO98" t="s">
        <v>34</v>
      </c>
      <c r="AP98" t="s">
        <v>31</v>
      </c>
      <c r="AQ98">
        <v>1.3660182146744252E-4</v>
      </c>
    </row>
    <row r="99" spans="1:43" x14ac:dyDescent="0.2">
      <c r="A99">
        <v>97</v>
      </c>
      <c r="B99">
        <v>96</v>
      </c>
      <c r="C99">
        <v>6</v>
      </c>
      <c r="D99">
        <v>20000</v>
      </c>
      <c r="E99" t="s">
        <v>348</v>
      </c>
      <c r="F99" t="s">
        <v>29</v>
      </c>
      <c r="G99" t="s">
        <v>548</v>
      </c>
      <c r="H99">
        <v>2.3807173804066373E-2</v>
      </c>
      <c r="I99">
        <v>-2.226325892973682E-5</v>
      </c>
      <c r="J99">
        <v>2.6</v>
      </c>
      <c r="L99" s="1">
        <v>44166</v>
      </c>
      <c r="M99" s="1">
        <v>43165</v>
      </c>
      <c r="N99" s="1"/>
      <c r="R99">
        <v>-2.4313878536657216E-3</v>
      </c>
      <c r="T99" t="s">
        <v>32</v>
      </c>
      <c r="V99">
        <v>570877632</v>
      </c>
      <c r="W99" t="s">
        <v>350</v>
      </c>
      <c r="X99" t="s">
        <v>351</v>
      </c>
      <c r="Y99">
        <v>20000</v>
      </c>
      <c r="Z99" t="s">
        <v>31</v>
      </c>
      <c r="AA99">
        <v>-1.6264894235979422E-2</v>
      </c>
      <c r="AB99">
        <v>104.82</v>
      </c>
      <c r="AC99" t="s">
        <v>34</v>
      </c>
      <c r="AE99" t="s">
        <v>41</v>
      </c>
      <c r="AF99">
        <v>8.6314849139223285E-2</v>
      </c>
      <c r="AH99" t="s">
        <v>244</v>
      </c>
      <c r="AJ99">
        <v>9.1566053092562976E-3</v>
      </c>
      <c r="AK99">
        <v>9.1566053092562976E-3</v>
      </c>
      <c r="AL99">
        <v>0</v>
      </c>
      <c r="AN99" t="s">
        <v>50</v>
      </c>
      <c r="AQ99">
        <v>7.9035100589586833E-4</v>
      </c>
    </row>
    <row r="100" spans="1:43" x14ac:dyDescent="0.2">
      <c r="A100">
        <v>98</v>
      </c>
      <c r="B100">
        <v>107</v>
      </c>
      <c r="C100">
        <v>6</v>
      </c>
      <c r="D100">
        <v>250000000</v>
      </c>
      <c r="E100" t="s">
        <v>348</v>
      </c>
      <c r="F100" t="s">
        <v>29</v>
      </c>
      <c r="G100" t="s">
        <v>415</v>
      </c>
      <c r="H100">
        <v>3.6869421350783039E-3</v>
      </c>
      <c r="I100">
        <v>-5.1512424879143934E-7</v>
      </c>
      <c r="J100">
        <v>1.1299999999999999</v>
      </c>
      <c r="K100">
        <v>1.1308859357804999</v>
      </c>
      <c r="L100" s="1">
        <v>43862</v>
      </c>
      <c r="M100" s="1">
        <v>43165</v>
      </c>
      <c r="N100" s="1">
        <v>43164</v>
      </c>
      <c r="R100">
        <v>-2.0737663149124656E-4</v>
      </c>
      <c r="S100">
        <v>-2.0737663149124656E-4</v>
      </c>
      <c r="T100" t="s">
        <v>39</v>
      </c>
      <c r="U100" t="s">
        <v>39</v>
      </c>
      <c r="V100">
        <v>203421293</v>
      </c>
      <c r="W100" t="s">
        <v>350</v>
      </c>
      <c r="X100" t="s">
        <v>351</v>
      </c>
      <c r="Y100">
        <v>250000000</v>
      </c>
      <c r="Z100" t="s">
        <v>31</v>
      </c>
      <c r="AA100">
        <v>-3.7633490458084321E-4</v>
      </c>
      <c r="AB100">
        <v>101.22</v>
      </c>
      <c r="AC100" t="s">
        <v>34</v>
      </c>
      <c r="AD100" t="s">
        <v>34</v>
      </c>
      <c r="AE100" t="s">
        <v>41</v>
      </c>
      <c r="AF100">
        <v>4.3799999999999999E-2</v>
      </c>
      <c r="AG100">
        <v>4.4000000000000004</v>
      </c>
      <c r="AH100" t="s">
        <v>244</v>
      </c>
      <c r="AI100" t="s">
        <v>244</v>
      </c>
      <c r="AJ100">
        <v>2.4840033570184736E-3</v>
      </c>
      <c r="AK100">
        <v>3.2627806505117736E-3</v>
      </c>
      <c r="AL100">
        <v>7.787772934933E-4</v>
      </c>
      <c r="AM100" t="s">
        <v>41</v>
      </c>
      <c r="AN100" t="s">
        <v>50</v>
      </c>
      <c r="AO100" t="s">
        <v>34</v>
      </c>
      <c r="AP100" t="s">
        <v>31</v>
      </c>
      <c r="AQ100">
        <v>1.4290979249241567E-4</v>
      </c>
    </row>
    <row r="101" spans="1:43" x14ac:dyDescent="0.2">
      <c r="A101">
        <v>99</v>
      </c>
      <c r="B101">
        <v>107</v>
      </c>
      <c r="C101">
        <v>6</v>
      </c>
      <c r="D101">
        <v>300000000</v>
      </c>
      <c r="E101" t="s">
        <v>348</v>
      </c>
      <c r="F101" t="s">
        <v>29</v>
      </c>
      <c r="G101" t="s">
        <v>549</v>
      </c>
      <c r="H101">
        <v>6.2583002287618242E-3</v>
      </c>
      <c r="I101">
        <v>-1.0139259533605662E-6</v>
      </c>
      <c r="J101">
        <v>1.28</v>
      </c>
      <c r="L101" s="1">
        <v>44014</v>
      </c>
      <c r="M101" s="1">
        <v>43165</v>
      </c>
      <c r="N101" s="1"/>
      <c r="R101">
        <v>-2.0737663149124656E-4</v>
      </c>
      <c r="T101" t="s">
        <v>39</v>
      </c>
      <c r="V101">
        <v>304828070</v>
      </c>
      <c r="W101" t="s">
        <v>350</v>
      </c>
      <c r="X101" t="s">
        <v>351</v>
      </c>
      <c r="Y101">
        <v>300000000</v>
      </c>
      <c r="Z101" t="s">
        <v>31</v>
      </c>
      <c r="AA101">
        <v>-7.4074502958310431E-4</v>
      </c>
      <c r="AB101">
        <v>100.74</v>
      </c>
      <c r="AC101" t="s">
        <v>34</v>
      </c>
      <c r="AE101" t="s">
        <v>41</v>
      </c>
      <c r="AF101">
        <v>4.4999999999999998E-2</v>
      </c>
      <c r="AH101" t="s">
        <v>244</v>
      </c>
      <c r="AJ101">
        <v>4.8892970537201749E-3</v>
      </c>
      <c r="AK101">
        <v>4.8892970537201749E-3</v>
      </c>
      <c r="AL101">
        <v>0</v>
      </c>
      <c r="AN101" t="s">
        <v>50</v>
      </c>
      <c r="AQ101">
        <v>2.2001836741740785E-4</v>
      </c>
    </row>
    <row r="102" spans="1:43" x14ac:dyDescent="0.2">
      <c r="A102">
        <v>100</v>
      </c>
      <c r="B102">
        <v>99</v>
      </c>
      <c r="C102">
        <v>6</v>
      </c>
      <c r="D102">
        <v>10000</v>
      </c>
      <c r="E102" t="s">
        <v>348</v>
      </c>
      <c r="F102" t="s">
        <v>29</v>
      </c>
      <c r="G102" t="s">
        <v>550</v>
      </c>
      <c r="H102">
        <v>2.0280065432373373E-2</v>
      </c>
      <c r="I102">
        <v>-5.9476055355747067E-6</v>
      </c>
      <c r="J102">
        <v>4.6399999999999997</v>
      </c>
      <c r="K102">
        <v>4.6486612229095998</v>
      </c>
      <c r="L102" s="1">
        <v>45417</v>
      </c>
      <c r="M102" s="1">
        <v>43165</v>
      </c>
      <c r="N102" s="1">
        <v>43164</v>
      </c>
      <c r="R102">
        <v>-2.4229989783995497E-3</v>
      </c>
      <c r="S102">
        <v>-2.4229989783995497E-3</v>
      </c>
      <c r="T102" t="s">
        <v>32</v>
      </c>
      <c r="U102" t="s">
        <v>32</v>
      </c>
      <c r="V102">
        <v>272495857</v>
      </c>
      <c r="W102" t="s">
        <v>350</v>
      </c>
      <c r="X102" t="s">
        <v>351</v>
      </c>
      <c r="Y102">
        <v>10000</v>
      </c>
      <c r="Z102" t="s">
        <v>31</v>
      </c>
      <c r="AA102">
        <v>-4.3451488975065292E-3</v>
      </c>
      <c r="AB102">
        <v>100.36</v>
      </c>
      <c r="AC102" t="s">
        <v>34</v>
      </c>
      <c r="AD102" t="s">
        <v>34</v>
      </c>
      <c r="AE102" t="s">
        <v>41</v>
      </c>
      <c r="AF102">
        <v>8.6714849139223282E-2</v>
      </c>
      <c r="AG102">
        <v>2.17</v>
      </c>
      <c r="AH102" t="s">
        <v>244</v>
      </c>
      <c r="AI102" t="s">
        <v>244</v>
      </c>
      <c r="AJ102">
        <v>2.4546463240786203E-3</v>
      </c>
      <c r="AK102">
        <v>4.3707037569770202E-3</v>
      </c>
      <c r="AL102">
        <v>1.9160574328983999E-3</v>
      </c>
      <c r="AM102" t="s">
        <v>41</v>
      </c>
      <c r="AN102" t="s">
        <v>50</v>
      </c>
      <c r="AO102" t="s">
        <v>34</v>
      </c>
      <c r="AP102" t="s">
        <v>31</v>
      </c>
      <c r="AQ102">
        <v>3.7900491691849871E-4</v>
      </c>
    </row>
    <row r="103" spans="1:43" x14ac:dyDescent="0.2">
      <c r="A103">
        <v>101</v>
      </c>
      <c r="B103">
        <v>110</v>
      </c>
      <c r="C103">
        <v>6</v>
      </c>
      <c r="D103">
        <v>600000000</v>
      </c>
      <c r="E103" t="s">
        <v>348</v>
      </c>
      <c r="F103" t="s">
        <v>29</v>
      </c>
      <c r="G103" t="s">
        <v>551</v>
      </c>
      <c r="H103">
        <v>3.3842234225525888E-2</v>
      </c>
      <c r="I103">
        <v>7.2994162877613414E-6</v>
      </c>
      <c r="J103">
        <v>3.45</v>
      </c>
      <c r="K103">
        <v>3.4513507565108998</v>
      </c>
      <c r="L103" s="1">
        <v>44829</v>
      </c>
      <c r="M103" s="1">
        <v>43165</v>
      </c>
      <c r="N103" s="1">
        <v>43164</v>
      </c>
      <c r="R103">
        <v>8.9476952919579559E-4</v>
      </c>
      <c r="S103">
        <v>8.9476952919579559E-4</v>
      </c>
      <c r="T103" t="s">
        <v>39</v>
      </c>
      <c r="U103" t="s">
        <v>39</v>
      </c>
      <c r="V103">
        <v>611573226</v>
      </c>
      <c r="W103" t="s">
        <v>350</v>
      </c>
      <c r="X103" t="s">
        <v>351</v>
      </c>
      <c r="Y103">
        <v>600000000</v>
      </c>
      <c r="Z103" t="s">
        <v>31</v>
      </c>
      <c r="AA103">
        <v>5.332742806411191E-3</v>
      </c>
      <c r="AB103">
        <v>99.83</v>
      </c>
      <c r="AC103" t="s">
        <v>34</v>
      </c>
      <c r="AD103" t="s">
        <v>34</v>
      </c>
      <c r="AE103" t="s">
        <v>41</v>
      </c>
      <c r="AF103">
        <v>4.8500000000000001E-2</v>
      </c>
      <c r="AG103">
        <v>4.8499999999999996</v>
      </c>
      <c r="AH103" t="s">
        <v>244</v>
      </c>
      <c r="AI103" t="s">
        <v>244</v>
      </c>
      <c r="AJ103">
        <v>8.1578731165800195E-3</v>
      </c>
      <c r="AK103">
        <v>9.8093432537756202E-3</v>
      </c>
      <c r="AL103">
        <v>1.6514701371956001E-3</v>
      </c>
      <c r="AM103" t="s">
        <v>41</v>
      </c>
      <c r="AN103" t="s">
        <v>50</v>
      </c>
      <c r="AO103" t="s">
        <v>34</v>
      </c>
      <c r="AP103" t="s">
        <v>31</v>
      </c>
      <c r="AQ103">
        <v>4.7575314780811762E-4</v>
      </c>
    </row>
    <row r="104" spans="1:43" x14ac:dyDescent="0.2">
      <c r="A104">
        <v>102</v>
      </c>
      <c r="B104">
        <v>110</v>
      </c>
      <c r="C104">
        <v>6</v>
      </c>
      <c r="F104" t="s">
        <v>29</v>
      </c>
      <c r="G104" t="s">
        <v>1023</v>
      </c>
      <c r="I104">
        <v>-1.4923946195921342E-6</v>
      </c>
      <c r="J104">
        <v>4.8596026763431004</v>
      </c>
      <c r="K104">
        <v>4.8596026763431004</v>
      </c>
      <c r="L104" s="1"/>
      <c r="M104" s="1"/>
      <c r="N104" s="1">
        <v>43164</v>
      </c>
      <c r="R104">
        <v>8.9476952919579559E-4</v>
      </c>
      <c r="S104">
        <v>8.9476952919579559E-4</v>
      </c>
      <c r="T104" t="s">
        <v>39</v>
      </c>
      <c r="U104" t="s">
        <v>39</v>
      </c>
      <c r="AA104">
        <v>-1.0903004237887534E-3</v>
      </c>
      <c r="AC104" t="s">
        <v>34</v>
      </c>
      <c r="AD104" t="s">
        <v>34</v>
      </c>
      <c r="AF104">
        <v>5.12</v>
      </c>
      <c r="AG104">
        <v>5.12</v>
      </c>
      <c r="AH104" t="s">
        <v>244</v>
      </c>
      <c r="AI104" t="s">
        <v>244</v>
      </c>
      <c r="AJ104">
        <v>-1.6679095240687001E-3</v>
      </c>
      <c r="AK104">
        <v>0</v>
      </c>
      <c r="AL104">
        <v>1.6679095240687001E-3</v>
      </c>
      <c r="AN104" t="s">
        <v>34</v>
      </c>
      <c r="AO104" t="s">
        <v>34</v>
      </c>
    </row>
    <row r="105" spans="1:43" x14ac:dyDescent="0.2">
      <c r="A105">
        <v>103</v>
      </c>
      <c r="B105">
        <v>89</v>
      </c>
      <c r="C105">
        <v>6</v>
      </c>
      <c r="D105">
        <v>5000</v>
      </c>
      <c r="E105" t="s">
        <v>257</v>
      </c>
      <c r="F105" t="s">
        <v>29</v>
      </c>
      <c r="G105" t="s">
        <v>552</v>
      </c>
      <c r="H105">
        <v>7.4135891855997438E-3</v>
      </c>
      <c r="I105">
        <v>1.529770917630059E-7</v>
      </c>
      <c r="J105">
        <v>3.04</v>
      </c>
      <c r="K105">
        <v>3.0476097066375001</v>
      </c>
      <c r="L105" s="1">
        <v>44378</v>
      </c>
      <c r="M105" s="1">
        <v>43165</v>
      </c>
      <c r="N105" s="1">
        <v>43164</v>
      </c>
      <c r="R105">
        <v>-4.3669241811467843E-4</v>
      </c>
      <c r="S105">
        <v>-4.3669241811467843E-4</v>
      </c>
      <c r="T105" t="s">
        <v>32</v>
      </c>
      <c r="U105" t="s">
        <v>32</v>
      </c>
      <c r="V105">
        <v>152041962</v>
      </c>
      <c r="W105" t="s">
        <v>257</v>
      </c>
      <c r="X105" t="s">
        <v>553</v>
      </c>
      <c r="Y105">
        <v>5000</v>
      </c>
      <c r="Z105" t="s">
        <v>31</v>
      </c>
      <c r="AA105">
        <v>1.1176064680852287E-4</v>
      </c>
      <c r="AB105">
        <v>111.62</v>
      </c>
      <c r="AC105" t="s">
        <v>138</v>
      </c>
      <c r="AD105" t="s">
        <v>138</v>
      </c>
      <c r="AE105" t="s">
        <v>44</v>
      </c>
      <c r="AF105">
        <v>8.9714849139223285E-2</v>
      </c>
      <c r="AG105">
        <v>2.46</v>
      </c>
      <c r="AH105" t="s">
        <v>244</v>
      </c>
      <c r="AI105" t="s">
        <v>244</v>
      </c>
      <c r="AJ105">
        <v>-3.5030855910768996E-4</v>
      </c>
      <c r="AK105">
        <v>2.4386806531578103E-3</v>
      </c>
      <c r="AL105">
        <v>2.7889892122655003E-3</v>
      </c>
      <c r="AM105" t="s">
        <v>44</v>
      </c>
      <c r="AN105" t="s">
        <v>142</v>
      </c>
      <c r="AO105" t="s">
        <v>138</v>
      </c>
      <c r="AP105" t="s">
        <v>31</v>
      </c>
      <c r="AQ105">
        <v>2.1878586689679546E-4</v>
      </c>
    </row>
    <row r="106" spans="1:43" x14ac:dyDescent="0.2">
      <c r="A106">
        <v>104</v>
      </c>
      <c r="B106">
        <v>89</v>
      </c>
      <c r="C106">
        <v>6</v>
      </c>
      <c r="D106">
        <v>20000</v>
      </c>
      <c r="E106" t="s">
        <v>257</v>
      </c>
      <c r="F106" t="s">
        <v>29</v>
      </c>
      <c r="G106" t="s">
        <v>554</v>
      </c>
      <c r="H106">
        <v>3.118250154875259E-2</v>
      </c>
      <c r="I106">
        <v>-3.0283848542571393E-6</v>
      </c>
      <c r="J106">
        <v>3.21</v>
      </c>
      <c r="K106">
        <v>3.2169872405033999</v>
      </c>
      <c r="L106" s="1">
        <v>44440</v>
      </c>
      <c r="M106" s="1">
        <v>43165</v>
      </c>
      <c r="N106" s="1">
        <v>43164</v>
      </c>
      <c r="R106">
        <v>-4.3669241811467843E-4</v>
      </c>
      <c r="S106">
        <v>-4.3669241811467843E-4</v>
      </c>
      <c r="T106" t="s">
        <v>32</v>
      </c>
      <c r="U106" t="s">
        <v>32</v>
      </c>
      <c r="V106">
        <v>605639863</v>
      </c>
      <c r="W106" t="s">
        <v>257</v>
      </c>
      <c r="X106" t="s">
        <v>553</v>
      </c>
      <c r="Y106">
        <v>20000</v>
      </c>
      <c r="Z106" t="s">
        <v>31</v>
      </c>
      <c r="AA106">
        <v>-2.2124505453486451E-3</v>
      </c>
      <c r="AB106">
        <v>112.25</v>
      </c>
      <c r="AC106" t="s">
        <v>138</v>
      </c>
      <c r="AD106" t="s">
        <v>138</v>
      </c>
      <c r="AE106" t="s">
        <v>44</v>
      </c>
      <c r="AF106">
        <v>8.9714849139223285E-2</v>
      </c>
      <c r="AG106">
        <v>2.44</v>
      </c>
      <c r="AH106" t="s">
        <v>244</v>
      </c>
      <c r="AI106" t="s">
        <v>244</v>
      </c>
      <c r="AJ106">
        <v>6.9348235248313031E-3</v>
      </c>
      <c r="AK106">
        <v>9.7141749373061033E-3</v>
      </c>
      <c r="AL106">
        <v>2.7793514124748002E-3</v>
      </c>
      <c r="AM106" t="s">
        <v>44</v>
      </c>
      <c r="AN106" t="s">
        <v>142</v>
      </c>
      <c r="AO106" t="s">
        <v>138</v>
      </c>
      <c r="AP106" t="s">
        <v>31</v>
      </c>
      <c r="AQ106">
        <v>8.7150573901244083E-4</v>
      </c>
    </row>
    <row r="107" spans="1:43" x14ac:dyDescent="0.2">
      <c r="A107">
        <v>105</v>
      </c>
      <c r="B107">
        <v>93</v>
      </c>
      <c r="C107">
        <v>6</v>
      </c>
      <c r="F107" t="s">
        <v>29</v>
      </c>
      <c r="G107" t="s">
        <v>338</v>
      </c>
      <c r="I107">
        <v>3.6672774365607959E-6</v>
      </c>
      <c r="J107">
        <v>0.17260273972602999</v>
      </c>
      <c r="K107">
        <v>0.17260273972602999</v>
      </c>
      <c r="L107" s="1"/>
      <c r="M107" s="1"/>
      <c r="N107" s="1">
        <v>43164</v>
      </c>
      <c r="R107">
        <v>-2.1922679503766566E-3</v>
      </c>
      <c r="S107">
        <v>-2.1922679503766566E-3</v>
      </c>
      <c r="T107" t="s">
        <v>32</v>
      </c>
      <c r="U107" t="s">
        <v>32</v>
      </c>
      <c r="W107" t="s">
        <v>259</v>
      </c>
      <c r="Z107" t="s">
        <v>31</v>
      </c>
      <c r="AA107">
        <v>2.6792070212139506E-3</v>
      </c>
      <c r="AC107" t="s">
        <v>34</v>
      </c>
      <c r="AD107" t="s">
        <v>34</v>
      </c>
      <c r="AE107" t="s">
        <v>35</v>
      </c>
      <c r="AF107">
        <v>1.05</v>
      </c>
      <c r="AG107">
        <v>1.05</v>
      </c>
      <c r="AH107" t="s">
        <v>244</v>
      </c>
      <c r="AI107" t="s">
        <v>244</v>
      </c>
      <c r="AJ107">
        <v>-1.6728235414519999E-3</v>
      </c>
      <c r="AK107">
        <v>0</v>
      </c>
      <c r="AL107">
        <v>1.6728235414519999E-3</v>
      </c>
      <c r="AM107" t="s">
        <v>35</v>
      </c>
      <c r="AN107" t="s">
        <v>34</v>
      </c>
      <c r="AO107" t="s">
        <v>34</v>
      </c>
      <c r="AP107" t="s">
        <v>31</v>
      </c>
    </row>
    <row r="108" spans="1:43" x14ac:dyDescent="0.2">
      <c r="A108">
        <v>106</v>
      </c>
      <c r="B108">
        <v>102</v>
      </c>
      <c r="C108">
        <v>6</v>
      </c>
      <c r="F108" t="s">
        <v>29</v>
      </c>
      <c r="G108" t="s">
        <v>555</v>
      </c>
      <c r="I108">
        <v>7.7480490821281435E-6</v>
      </c>
      <c r="J108">
        <v>8.4948034718058008</v>
      </c>
      <c r="K108">
        <v>8.4948034718058008</v>
      </c>
      <c r="L108" s="1"/>
      <c r="M108" s="1"/>
      <c r="N108" s="1">
        <v>43164</v>
      </c>
      <c r="R108">
        <v>-1.8407209487297778E-3</v>
      </c>
      <c r="S108">
        <v>-1.8407209487297778E-3</v>
      </c>
      <c r="T108" t="s">
        <v>32</v>
      </c>
      <c r="U108" t="s">
        <v>32</v>
      </c>
      <c r="W108" t="s">
        <v>259</v>
      </c>
      <c r="Z108" t="s">
        <v>31</v>
      </c>
      <c r="AA108">
        <v>5.6605009739911167E-3</v>
      </c>
      <c r="AC108" t="s">
        <v>34</v>
      </c>
      <c r="AD108" t="s">
        <v>34</v>
      </c>
      <c r="AE108" t="s">
        <v>35</v>
      </c>
      <c r="AF108">
        <v>2.61</v>
      </c>
      <c r="AG108">
        <v>2.61</v>
      </c>
      <c r="AH108" t="s">
        <v>244</v>
      </c>
      <c r="AI108" t="s">
        <v>244</v>
      </c>
      <c r="AJ108">
        <v>-4.2092469732985995E-3</v>
      </c>
      <c r="AK108">
        <v>0</v>
      </c>
      <c r="AL108">
        <v>4.2092469732985995E-3</v>
      </c>
      <c r="AM108" t="s">
        <v>35</v>
      </c>
      <c r="AN108" t="s">
        <v>34</v>
      </c>
      <c r="AO108" t="s">
        <v>34</v>
      </c>
      <c r="AP108" t="s">
        <v>31</v>
      </c>
    </row>
    <row r="109" spans="1:43" x14ac:dyDescent="0.2">
      <c r="A109">
        <v>107</v>
      </c>
      <c r="B109">
        <v>102</v>
      </c>
      <c r="C109">
        <v>6</v>
      </c>
      <c r="D109">
        <v>27000</v>
      </c>
      <c r="E109" t="s">
        <v>258</v>
      </c>
      <c r="F109" t="s">
        <v>29</v>
      </c>
      <c r="G109" t="s">
        <v>556</v>
      </c>
      <c r="H109">
        <v>7.6661012883515511E-2</v>
      </c>
      <c r="I109">
        <v>-2.041363552507529E-5</v>
      </c>
      <c r="J109">
        <v>5.45</v>
      </c>
      <c r="K109">
        <v>5.4550462933026997</v>
      </c>
      <c r="L109" s="1">
        <v>47406</v>
      </c>
      <c r="M109" s="1">
        <v>43165</v>
      </c>
      <c r="N109" s="1">
        <v>43164</v>
      </c>
      <c r="R109">
        <v>-1.8407209487297778E-3</v>
      </c>
      <c r="S109">
        <v>-1.8407209487297778E-3</v>
      </c>
      <c r="T109" t="s">
        <v>32</v>
      </c>
      <c r="U109" t="s">
        <v>32</v>
      </c>
      <c r="V109">
        <v>876973728</v>
      </c>
      <c r="W109" t="s">
        <v>259</v>
      </c>
      <c r="X109" t="s">
        <v>339</v>
      </c>
      <c r="Y109">
        <v>27000</v>
      </c>
      <c r="Z109" t="s">
        <v>31</v>
      </c>
      <c r="AA109">
        <v>-1.4913612774978708E-2</v>
      </c>
      <c r="AB109">
        <v>117.93</v>
      </c>
      <c r="AC109" t="s">
        <v>34</v>
      </c>
      <c r="AD109" t="s">
        <v>34</v>
      </c>
      <c r="AE109" t="s">
        <v>35</v>
      </c>
      <c r="AF109">
        <v>8.9514849139223279E-2</v>
      </c>
      <c r="AG109">
        <v>2.4500000000000002</v>
      </c>
      <c r="AH109" t="s">
        <v>244</v>
      </c>
      <c r="AI109" t="s">
        <v>244</v>
      </c>
      <c r="AJ109">
        <v>1.1090021841258492E-2</v>
      </c>
      <c r="AK109">
        <v>1.4066240896057892E-2</v>
      </c>
      <c r="AL109">
        <v>2.9762190547993998E-3</v>
      </c>
      <c r="AM109" t="s">
        <v>35</v>
      </c>
      <c r="AN109" t="s">
        <v>50</v>
      </c>
      <c r="AO109" t="s">
        <v>34</v>
      </c>
      <c r="AP109" t="s">
        <v>31</v>
      </c>
      <c r="AQ109">
        <v>1.2591374317665951E-3</v>
      </c>
    </row>
    <row r="110" spans="1:43" x14ac:dyDescent="0.2">
      <c r="A110">
        <v>108</v>
      </c>
      <c r="B110">
        <v>102</v>
      </c>
      <c r="C110">
        <v>6</v>
      </c>
      <c r="F110" t="s">
        <v>29</v>
      </c>
      <c r="G110" t="s">
        <v>557</v>
      </c>
      <c r="I110">
        <v>8.112507794886414E-6</v>
      </c>
      <c r="J110">
        <v>7.8525366218016996</v>
      </c>
      <c r="K110">
        <v>7.8525366218016996</v>
      </c>
      <c r="L110" s="1"/>
      <c r="M110" s="1"/>
      <c r="N110" s="1">
        <v>43164</v>
      </c>
      <c r="R110">
        <v>-1.8407209487297778E-3</v>
      </c>
      <c r="S110">
        <v>-1.8407209487297778E-3</v>
      </c>
      <c r="T110" t="s">
        <v>32</v>
      </c>
      <c r="U110" t="s">
        <v>32</v>
      </c>
      <c r="W110" t="s">
        <v>259</v>
      </c>
      <c r="Z110" t="s">
        <v>31</v>
      </c>
      <c r="AA110">
        <v>5.9267639876452701E-3</v>
      </c>
      <c r="AC110" t="s">
        <v>34</v>
      </c>
      <c r="AD110" t="s">
        <v>34</v>
      </c>
      <c r="AE110" t="s">
        <v>35</v>
      </c>
      <c r="AF110">
        <v>2.5499999999999998</v>
      </c>
      <c r="AG110">
        <v>2.5499999999999998</v>
      </c>
      <c r="AH110" t="s">
        <v>244</v>
      </c>
      <c r="AI110" t="s">
        <v>244</v>
      </c>
      <c r="AJ110">
        <v>-4.4072447811736998E-3</v>
      </c>
      <c r="AK110">
        <v>0</v>
      </c>
      <c r="AL110">
        <v>4.4072447811736998E-3</v>
      </c>
      <c r="AM110" t="s">
        <v>35</v>
      </c>
      <c r="AN110" t="s">
        <v>34</v>
      </c>
      <c r="AO110" t="s">
        <v>34</v>
      </c>
      <c r="AP110" t="s">
        <v>31</v>
      </c>
    </row>
    <row r="111" spans="1:43" x14ac:dyDescent="0.2">
      <c r="A111">
        <v>109</v>
      </c>
      <c r="B111">
        <v>112</v>
      </c>
      <c r="C111">
        <v>6</v>
      </c>
      <c r="D111">
        <v>600000000</v>
      </c>
      <c r="E111" t="s">
        <v>258</v>
      </c>
      <c r="F111" t="s">
        <v>29</v>
      </c>
      <c r="G111" t="s">
        <v>558</v>
      </c>
      <c r="H111">
        <v>8.6722834577894536E-2</v>
      </c>
      <c r="I111">
        <v>6.6558534288652163E-6</v>
      </c>
      <c r="J111">
        <v>8.77</v>
      </c>
      <c r="K111">
        <v>8.7726664913805994</v>
      </c>
      <c r="L111" s="1">
        <v>48000</v>
      </c>
      <c r="M111" s="1">
        <v>43165</v>
      </c>
      <c r="N111" s="1">
        <v>43164</v>
      </c>
      <c r="R111">
        <v>8.1247433333285848E-4</v>
      </c>
      <c r="S111">
        <v>8.1247433333285848E-4</v>
      </c>
      <c r="T111" t="s">
        <v>39</v>
      </c>
      <c r="U111" t="s">
        <v>39</v>
      </c>
      <c r="V111">
        <v>616513234</v>
      </c>
      <c r="W111" t="s">
        <v>259</v>
      </c>
      <c r="X111" t="s">
        <v>339</v>
      </c>
      <c r="Y111">
        <v>600000000</v>
      </c>
      <c r="Z111" t="s">
        <v>31</v>
      </c>
      <c r="AA111">
        <v>4.8625743612978525E-3</v>
      </c>
      <c r="AB111">
        <v>100.96</v>
      </c>
      <c r="AC111" t="s">
        <v>34</v>
      </c>
      <c r="AD111" t="s">
        <v>34</v>
      </c>
      <c r="AE111" t="s">
        <v>35</v>
      </c>
      <c r="AF111">
        <v>6.88E-2</v>
      </c>
      <c r="AG111">
        <v>6.88</v>
      </c>
      <c r="AH111" t="s">
        <v>244</v>
      </c>
      <c r="AI111" t="s">
        <v>244</v>
      </c>
      <c r="AJ111">
        <v>8.1920783904177973E-3</v>
      </c>
      <c r="AK111">
        <v>9.8885786291783972E-3</v>
      </c>
      <c r="AL111">
        <v>1.6965002387605999E-3</v>
      </c>
      <c r="AM111" t="s">
        <v>35</v>
      </c>
      <c r="AN111" t="s">
        <v>50</v>
      </c>
      <c r="AO111" t="s">
        <v>34</v>
      </c>
      <c r="AP111" t="s">
        <v>31</v>
      </c>
      <c r="AQ111">
        <v>6.8033420968747376E-4</v>
      </c>
    </row>
    <row r="112" spans="1:43" x14ac:dyDescent="0.2">
      <c r="A112">
        <v>110</v>
      </c>
      <c r="B112">
        <v>110</v>
      </c>
      <c r="C112">
        <v>6</v>
      </c>
      <c r="F112" t="s">
        <v>29</v>
      </c>
      <c r="G112" t="s">
        <v>432</v>
      </c>
      <c r="I112">
        <v>-1.451633951513461E-6</v>
      </c>
      <c r="J112">
        <v>3.5781555799297</v>
      </c>
      <c r="K112">
        <v>3.5781555799297</v>
      </c>
      <c r="L112" s="1"/>
      <c r="M112" s="1"/>
      <c r="N112" s="1">
        <v>43164</v>
      </c>
      <c r="R112">
        <v>8.9476952919579559E-4</v>
      </c>
      <c r="S112">
        <v>8.9476952919579559E-4</v>
      </c>
      <c r="T112" t="s">
        <v>39</v>
      </c>
      <c r="U112" t="s">
        <v>39</v>
      </c>
      <c r="W112" t="s">
        <v>259</v>
      </c>
      <c r="Z112" t="s">
        <v>31</v>
      </c>
      <c r="AA112">
        <v>-1.0605218564469362E-3</v>
      </c>
      <c r="AC112" t="s">
        <v>34</v>
      </c>
      <c r="AD112" t="s">
        <v>34</v>
      </c>
      <c r="AE112" t="s">
        <v>35</v>
      </c>
      <c r="AF112">
        <v>4.54</v>
      </c>
      <c r="AG112">
        <v>4.54</v>
      </c>
      <c r="AH112" t="s">
        <v>244</v>
      </c>
      <c r="AI112" t="s">
        <v>244</v>
      </c>
      <c r="AJ112">
        <v>-1.6223551474961002E-3</v>
      </c>
      <c r="AK112">
        <v>0</v>
      </c>
      <c r="AL112">
        <v>1.6223551474961002E-3</v>
      </c>
      <c r="AM112" t="s">
        <v>35</v>
      </c>
      <c r="AN112" t="s">
        <v>34</v>
      </c>
      <c r="AO112" t="s">
        <v>34</v>
      </c>
      <c r="AP112" t="s">
        <v>31</v>
      </c>
    </row>
    <row r="113" spans="1:43" x14ac:dyDescent="0.2">
      <c r="A113">
        <v>111</v>
      </c>
      <c r="B113">
        <v>102</v>
      </c>
      <c r="C113">
        <v>6</v>
      </c>
      <c r="D113">
        <v>21500</v>
      </c>
      <c r="E113" t="s">
        <v>559</v>
      </c>
      <c r="F113" t="s">
        <v>29</v>
      </c>
      <c r="G113" t="s">
        <v>560</v>
      </c>
      <c r="H113">
        <v>9.3556301543562592E-2</v>
      </c>
      <c r="I113">
        <v>-1.507454571797693E-5</v>
      </c>
      <c r="J113">
        <v>8.89</v>
      </c>
      <c r="K113">
        <v>8.8978830068801997</v>
      </c>
      <c r="L113" s="1">
        <v>49035</v>
      </c>
      <c r="M113" s="1">
        <v>43165</v>
      </c>
      <c r="N113" s="1">
        <v>43164</v>
      </c>
      <c r="R113">
        <v>-1.8407209487297778E-3</v>
      </c>
      <c r="S113">
        <v>-1.8407209487297778E-3</v>
      </c>
      <c r="T113" t="s">
        <v>32</v>
      </c>
      <c r="U113" t="s">
        <v>32</v>
      </c>
      <c r="V113">
        <v>656114773</v>
      </c>
      <c r="W113" t="s">
        <v>561</v>
      </c>
      <c r="X113" t="s">
        <v>562</v>
      </c>
      <c r="Y113">
        <v>21500</v>
      </c>
      <c r="Z113" t="s">
        <v>31</v>
      </c>
      <c r="AA113">
        <v>-1.101302790090802E-2</v>
      </c>
      <c r="AB113">
        <v>111.39</v>
      </c>
      <c r="AC113" t="s">
        <v>34</v>
      </c>
      <c r="AD113" t="s">
        <v>34</v>
      </c>
      <c r="AE113" t="s">
        <v>41</v>
      </c>
      <c r="AF113">
        <v>9.1314849139223289E-2</v>
      </c>
      <c r="AG113">
        <v>2.62</v>
      </c>
      <c r="AH113" t="s">
        <v>244</v>
      </c>
      <c r="AI113" t="s">
        <v>244</v>
      </c>
      <c r="AJ113">
        <v>8.1894790888208165E-3</v>
      </c>
      <c r="AK113">
        <v>1.0523768452594217E-2</v>
      </c>
      <c r="AL113">
        <v>2.3342893637734001E-3</v>
      </c>
      <c r="AM113" t="s">
        <v>41</v>
      </c>
      <c r="AN113" t="s">
        <v>50</v>
      </c>
      <c r="AO113" t="s">
        <v>34</v>
      </c>
      <c r="AP113" t="s">
        <v>31</v>
      </c>
      <c r="AQ113">
        <v>9.6097632862475826E-4</v>
      </c>
    </row>
    <row r="114" spans="1:43" x14ac:dyDescent="0.2">
      <c r="A114">
        <v>112</v>
      </c>
      <c r="B114">
        <v>99</v>
      </c>
      <c r="C114">
        <v>6</v>
      </c>
      <c r="D114">
        <v>21000</v>
      </c>
      <c r="E114" t="s">
        <v>559</v>
      </c>
      <c r="F114" t="s">
        <v>29</v>
      </c>
      <c r="G114" t="s">
        <v>563</v>
      </c>
      <c r="H114">
        <v>3.6593703510544272E-2</v>
      </c>
      <c r="I114">
        <v>-1.8013019587525898E-5</v>
      </c>
      <c r="J114">
        <v>4.03</v>
      </c>
      <c r="K114">
        <v>4.0402934045132</v>
      </c>
      <c r="L114" s="1">
        <v>44696</v>
      </c>
      <c r="M114" s="1">
        <v>43165</v>
      </c>
      <c r="N114" s="1">
        <v>43164</v>
      </c>
      <c r="R114">
        <v>-2.4229989783995497E-3</v>
      </c>
      <c r="S114">
        <v>-2.4229989783995497E-3</v>
      </c>
      <c r="T114" t="s">
        <v>32</v>
      </c>
      <c r="U114" t="s">
        <v>32</v>
      </c>
      <c r="V114">
        <v>566121764</v>
      </c>
      <c r="W114" t="s">
        <v>561</v>
      </c>
      <c r="X114" t="s">
        <v>564</v>
      </c>
      <c r="Y114">
        <v>21000</v>
      </c>
      <c r="Z114" t="s">
        <v>31</v>
      </c>
      <c r="AA114">
        <v>-1.3159792076550124E-2</v>
      </c>
      <c r="AB114">
        <v>98.58</v>
      </c>
      <c r="AC114" t="s">
        <v>34</v>
      </c>
      <c r="AD114" t="s">
        <v>34</v>
      </c>
      <c r="AE114" t="s">
        <v>41</v>
      </c>
      <c r="AF114">
        <v>8.3614849139223291E-2</v>
      </c>
      <c r="AG114">
        <v>1.88</v>
      </c>
      <c r="AH114" t="s">
        <v>244</v>
      </c>
      <c r="AI114" t="s">
        <v>244</v>
      </c>
      <c r="AJ114">
        <v>7.434183731857758E-3</v>
      </c>
      <c r="AK114">
        <v>9.080323451747958E-3</v>
      </c>
      <c r="AL114">
        <v>1.6461397198902E-3</v>
      </c>
      <c r="AM114" t="s">
        <v>41</v>
      </c>
      <c r="AN114" t="s">
        <v>50</v>
      </c>
      <c r="AO114" t="s">
        <v>34</v>
      </c>
      <c r="AP114" t="s">
        <v>31</v>
      </c>
      <c r="AQ114">
        <v>7.5924987555325678E-4</v>
      </c>
    </row>
    <row r="115" spans="1:43" x14ac:dyDescent="0.2">
      <c r="A115">
        <v>113</v>
      </c>
      <c r="B115">
        <v>102</v>
      </c>
      <c r="C115">
        <v>6</v>
      </c>
      <c r="D115">
        <v>2000</v>
      </c>
      <c r="E115" t="s">
        <v>565</v>
      </c>
      <c r="F115" t="s">
        <v>29</v>
      </c>
      <c r="G115" t="s">
        <v>566</v>
      </c>
      <c r="H115">
        <v>7.4697849892920182E-3</v>
      </c>
      <c r="I115">
        <v>7.9036970948006342E-6</v>
      </c>
      <c r="J115">
        <v>7.37</v>
      </c>
      <c r="K115">
        <v>7.3719147586150999</v>
      </c>
      <c r="L115" s="1">
        <v>47341</v>
      </c>
      <c r="M115" s="1">
        <v>43165</v>
      </c>
      <c r="N115" s="1">
        <v>43164</v>
      </c>
      <c r="R115">
        <v>-1.8407209487297778E-3</v>
      </c>
      <c r="S115">
        <v>-1.8407209487297778E-3</v>
      </c>
      <c r="T115" t="s">
        <v>32</v>
      </c>
      <c r="U115" t="s">
        <v>32</v>
      </c>
      <c r="V115">
        <v>63190115</v>
      </c>
      <c r="W115" t="s">
        <v>567</v>
      </c>
      <c r="X115" t="s">
        <v>568</v>
      </c>
      <c r="Y115">
        <v>2000</v>
      </c>
      <c r="Z115" t="s">
        <v>31</v>
      </c>
      <c r="AA115">
        <v>5.7742129185068859E-3</v>
      </c>
      <c r="AB115">
        <v>116.88</v>
      </c>
      <c r="AC115" t="s">
        <v>34</v>
      </c>
      <c r="AD115" t="s">
        <v>34</v>
      </c>
      <c r="AE115" t="s">
        <v>169</v>
      </c>
      <c r="AF115">
        <v>8.9314849139223287E-2</v>
      </c>
      <c r="AG115">
        <v>2.4300000000000002</v>
      </c>
      <c r="AH115" t="s">
        <v>244</v>
      </c>
      <c r="AI115" t="s">
        <v>244</v>
      </c>
      <c r="AJ115">
        <v>-4.2938051529509249E-3</v>
      </c>
      <c r="AK115">
        <v>1.0135393472580757E-3</v>
      </c>
      <c r="AL115">
        <v>5.3073445002090004E-3</v>
      </c>
      <c r="AM115" t="s">
        <v>169</v>
      </c>
      <c r="AN115" t="s">
        <v>50</v>
      </c>
      <c r="AO115" t="s">
        <v>34</v>
      </c>
      <c r="AP115" t="s">
        <v>31</v>
      </c>
      <c r="AQ115">
        <v>9.0524113897021876E-5</v>
      </c>
    </row>
    <row r="116" spans="1:43" x14ac:dyDescent="0.2">
      <c r="A116">
        <v>114</v>
      </c>
      <c r="B116">
        <v>102</v>
      </c>
      <c r="C116">
        <v>6</v>
      </c>
      <c r="F116" t="s">
        <v>29</v>
      </c>
      <c r="G116" t="s">
        <v>569</v>
      </c>
      <c r="I116">
        <v>6.1014398064214272E-6</v>
      </c>
      <c r="J116">
        <v>6.2681517918497001</v>
      </c>
      <c r="K116">
        <v>6.2681517918497001</v>
      </c>
      <c r="L116" s="1"/>
      <c r="M116" s="1"/>
      <c r="N116" s="1">
        <v>43164</v>
      </c>
      <c r="R116">
        <v>-1.8407209487297778E-3</v>
      </c>
      <c r="S116">
        <v>-1.8407209487297778E-3</v>
      </c>
      <c r="T116" t="s">
        <v>32</v>
      </c>
      <c r="U116" t="s">
        <v>32</v>
      </c>
      <c r="AA116">
        <v>4.4575357746069388E-3</v>
      </c>
      <c r="AC116" t="s">
        <v>34</v>
      </c>
      <c r="AD116" t="s">
        <v>34</v>
      </c>
      <c r="AF116">
        <v>2.31</v>
      </c>
      <c r="AG116">
        <v>2.31</v>
      </c>
      <c r="AH116" t="s">
        <v>244</v>
      </c>
      <c r="AI116" t="s">
        <v>244</v>
      </c>
      <c r="AJ116">
        <v>-3.3147011287245E-3</v>
      </c>
      <c r="AK116">
        <v>0</v>
      </c>
      <c r="AL116">
        <v>3.3147011287245E-3</v>
      </c>
      <c r="AN116" t="s">
        <v>34</v>
      </c>
      <c r="AO116" t="s">
        <v>34</v>
      </c>
    </row>
    <row r="117" spans="1:43" x14ac:dyDescent="0.2">
      <c r="A117">
        <v>115</v>
      </c>
      <c r="B117">
        <v>102</v>
      </c>
      <c r="C117">
        <v>6</v>
      </c>
      <c r="D117">
        <v>28000</v>
      </c>
      <c r="E117" t="s">
        <v>570</v>
      </c>
      <c r="F117" t="s">
        <v>29</v>
      </c>
      <c r="G117" t="s">
        <v>571</v>
      </c>
      <c r="H117">
        <v>9.8133928695093589E-2</v>
      </c>
      <c r="I117">
        <v>-2.0968320116645082E-5</v>
      </c>
      <c r="J117">
        <v>6.74</v>
      </c>
      <c r="K117">
        <v>6.7488936551352001</v>
      </c>
      <c r="L117" s="1">
        <v>47922</v>
      </c>
      <c r="M117" s="1">
        <v>43165</v>
      </c>
      <c r="N117" s="1">
        <v>43164</v>
      </c>
      <c r="R117">
        <v>-1.8407209487297778E-3</v>
      </c>
      <c r="S117">
        <v>-1.8407209487297778E-3</v>
      </c>
      <c r="T117" t="s">
        <v>32</v>
      </c>
      <c r="U117" t="s">
        <v>32</v>
      </c>
      <c r="V117">
        <v>907753269</v>
      </c>
      <c r="W117" t="s">
        <v>572</v>
      </c>
      <c r="X117" t="s">
        <v>573</v>
      </c>
      <c r="Y117">
        <v>28000</v>
      </c>
      <c r="Z117" t="s">
        <v>31</v>
      </c>
      <c r="AA117">
        <v>-1.5318849323890226E-2</v>
      </c>
      <c r="AB117">
        <v>115.22</v>
      </c>
      <c r="AC117" t="s">
        <v>34</v>
      </c>
      <c r="AD117" t="s">
        <v>34</v>
      </c>
      <c r="AE117" t="s">
        <v>41</v>
      </c>
      <c r="AF117">
        <v>8.7814849139223286E-2</v>
      </c>
      <c r="AG117">
        <v>2.29</v>
      </c>
      <c r="AH117" t="s">
        <v>244</v>
      </c>
      <c r="AI117" t="s">
        <v>244</v>
      </c>
      <c r="AJ117">
        <v>1.1391362787018121E-2</v>
      </c>
      <c r="AK117">
        <v>1.4559930073456021E-2</v>
      </c>
      <c r="AL117">
        <v>3.1685672864379E-3</v>
      </c>
      <c r="AM117" t="s">
        <v>41</v>
      </c>
      <c r="AN117" t="s">
        <v>50</v>
      </c>
      <c r="AO117" t="s">
        <v>34</v>
      </c>
      <c r="AP117" t="s">
        <v>31</v>
      </c>
      <c r="AQ117">
        <v>1.2785780628781808E-3</v>
      </c>
    </row>
    <row r="118" spans="1:43" x14ac:dyDescent="0.2">
      <c r="A118">
        <v>116</v>
      </c>
      <c r="B118">
        <v>98</v>
      </c>
      <c r="C118">
        <v>6</v>
      </c>
      <c r="F118" t="s">
        <v>29</v>
      </c>
      <c r="G118" t="s">
        <v>574</v>
      </c>
      <c r="I118">
        <v>1.0464994414291561E-5</v>
      </c>
      <c r="J118">
        <v>4.2215515114722999</v>
      </c>
      <c r="K118">
        <v>4.2215515114722999</v>
      </c>
      <c r="L118" s="1"/>
      <c r="M118" s="1"/>
      <c r="N118" s="1">
        <v>43164</v>
      </c>
      <c r="R118">
        <v>-4.4913223753632802E-3</v>
      </c>
      <c r="S118">
        <v>-4.4913223753632802E-3</v>
      </c>
      <c r="T118" t="s">
        <v>32</v>
      </c>
      <c r="U118" t="s">
        <v>32</v>
      </c>
      <c r="W118" t="s">
        <v>261</v>
      </c>
      <c r="Z118" t="s">
        <v>31</v>
      </c>
      <c r="AA118">
        <v>7.6454227957263293E-3</v>
      </c>
      <c r="AC118" t="s">
        <v>42</v>
      </c>
      <c r="AD118" t="s">
        <v>42</v>
      </c>
      <c r="AE118" t="s">
        <v>41</v>
      </c>
      <c r="AF118">
        <v>1.79</v>
      </c>
      <c r="AG118">
        <v>1.79</v>
      </c>
      <c r="AH118" t="s">
        <v>244</v>
      </c>
      <c r="AI118" t="s">
        <v>244</v>
      </c>
      <c r="AJ118">
        <v>-2.33004748706E-3</v>
      </c>
      <c r="AK118">
        <v>0</v>
      </c>
      <c r="AL118">
        <v>2.33004748706E-3</v>
      </c>
      <c r="AM118" t="s">
        <v>41</v>
      </c>
      <c r="AN118" t="s">
        <v>42</v>
      </c>
      <c r="AO118" t="s">
        <v>42</v>
      </c>
      <c r="AP118" t="s">
        <v>31</v>
      </c>
    </row>
    <row r="119" spans="1:43" x14ac:dyDescent="0.2">
      <c r="A119">
        <v>117</v>
      </c>
      <c r="B119">
        <v>92</v>
      </c>
      <c r="C119">
        <v>6</v>
      </c>
      <c r="F119" t="s">
        <v>29</v>
      </c>
      <c r="G119" t="s">
        <v>307</v>
      </c>
      <c r="I119">
        <v>5.7408573235713532E-6</v>
      </c>
      <c r="J119">
        <v>0.40821917808218999</v>
      </c>
      <c r="K119">
        <v>0.40821917808218999</v>
      </c>
      <c r="L119" s="1"/>
      <c r="M119" s="1"/>
      <c r="N119" s="1">
        <v>43164</v>
      </c>
      <c r="R119">
        <v>-2.293432873749072E-3</v>
      </c>
      <c r="S119">
        <v>-2.293432873749072E-3</v>
      </c>
      <c r="T119" t="s">
        <v>32</v>
      </c>
      <c r="U119" t="s">
        <v>32</v>
      </c>
      <c r="W119" t="s">
        <v>261</v>
      </c>
      <c r="Z119" t="s">
        <v>31</v>
      </c>
      <c r="AA119">
        <v>4.1941046226173393E-3</v>
      </c>
      <c r="AC119" t="s">
        <v>42</v>
      </c>
      <c r="AD119" t="s">
        <v>42</v>
      </c>
      <c r="AE119" t="s">
        <v>41</v>
      </c>
      <c r="AF119">
        <v>1.02</v>
      </c>
      <c r="AG119">
        <v>1.02</v>
      </c>
      <c r="AH119" t="s">
        <v>244</v>
      </c>
      <c r="AI119" t="s">
        <v>244</v>
      </c>
      <c r="AJ119">
        <v>-2.5031721613838999E-3</v>
      </c>
      <c r="AK119">
        <v>0</v>
      </c>
      <c r="AL119">
        <v>2.5031721613838999E-3</v>
      </c>
      <c r="AM119" t="s">
        <v>41</v>
      </c>
      <c r="AN119" t="s">
        <v>42</v>
      </c>
      <c r="AO119" t="s">
        <v>42</v>
      </c>
      <c r="AP119" t="s">
        <v>31</v>
      </c>
    </row>
    <row r="120" spans="1:43" x14ac:dyDescent="0.2">
      <c r="A120">
        <v>118</v>
      </c>
      <c r="B120">
        <v>95</v>
      </c>
      <c r="C120">
        <v>6</v>
      </c>
      <c r="F120" t="s">
        <v>29</v>
      </c>
      <c r="G120" t="s">
        <v>575</v>
      </c>
      <c r="I120">
        <v>7.2722533867749233E-6</v>
      </c>
      <c r="J120">
        <v>1.5272393621658999</v>
      </c>
      <c r="K120">
        <v>1.5272393621658999</v>
      </c>
      <c r="L120" s="1"/>
      <c r="M120" s="1"/>
      <c r="N120" s="1">
        <v>43164</v>
      </c>
      <c r="R120">
        <v>-2.8093124561633931E-3</v>
      </c>
      <c r="S120">
        <v>-2.8093124561633931E-3</v>
      </c>
      <c r="T120" t="s">
        <v>32</v>
      </c>
      <c r="U120" t="s">
        <v>32</v>
      </c>
      <c r="AA120">
        <v>5.3128983751407829E-3</v>
      </c>
      <c r="AC120" t="s">
        <v>42</v>
      </c>
      <c r="AD120" t="s">
        <v>42</v>
      </c>
      <c r="AF120">
        <v>1.28</v>
      </c>
      <c r="AG120">
        <v>1.28</v>
      </c>
      <c r="AH120" t="s">
        <v>244</v>
      </c>
      <c r="AI120" t="s">
        <v>244</v>
      </c>
      <c r="AJ120">
        <v>-2.5886239071841997E-3</v>
      </c>
      <c r="AK120">
        <v>0</v>
      </c>
      <c r="AL120">
        <v>2.5886239071841997E-3</v>
      </c>
      <c r="AN120" t="s">
        <v>42</v>
      </c>
      <c r="AO120" t="s">
        <v>42</v>
      </c>
    </row>
    <row r="121" spans="1:43" x14ac:dyDescent="0.2">
      <c r="A121">
        <v>119</v>
      </c>
      <c r="B121">
        <v>95</v>
      </c>
      <c r="C121">
        <v>6</v>
      </c>
      <c r="F121" t="s">
        <v>29</v>
      </c>
      <c r="G121" t="s">
        <v>576</v>
      </c>
      <c r="I121">
        <v>7.2513514985964202E-6</v>
      </c>
      <c r="J121">
        <v>1.6943466754284</v>
      </c>
      <c r="K121">
        <v>1.6943466754284</v>
      </c>
      <c r="L121" s="1"/>
      <c r="M121" s="1"/>
      <c r="N121" s="1">
        <v>43164</v>
      </c>
      <c r="R121">
        <v>-2.8093124561633931E-3</v>
      </c>
      <c r="S121">
        <v>-2.8093124561633931E-3</v>
      </c>
      <c r="T121" t="s">
        <v>32</v>
      </c>
      <c r="U121" t="s">
        <v>32</v>
      </c>
      <c r="AA121">
        <v>5.297628059073016E-3</v>
      </c>
      <c r="AC121" t="s">
        <v>42</v>
      </c>
      <c r="AD121" t="s">
        <v>42</v>
      </c>
      <c r="AF121">
        <v>1.31</v>
      </c>
      <c r="AG121">
        <v>1.31</v>
      </c>
      <c r="AH121" t="s">
        <v>244</v>
      </c>
      <c r="AI121" t="s">
        <v>244</v>
      </c>
      <c r="AJ121">
        <v>-2.5811836923613002E-3</v>
      </c>
      <c r="AK121">
        <v>0</v>
      </c>
      <c r="AL121">
        <v>2.5811836923613002E-3</v>
      </c>
      <c r="AN121" t="s">
        <v>42</v>
      </c>
      <c r="AO121" t="s">
        <v>42</v>
      </c>
    </row>
    <row r="122" spans="1:43" x14ac:dyDescent="0.2">
      <c r="A122">
        <v>120</v>
      </c>
      <c r="B122">
        <v>95</v>
      </c>
      <c r="C122">
        <v>6</v>
      </c>
      <c r="F122" t="s">
        <v>29</v>
      </c>
      <c r="G122" t="s">
        <v>577</v>
      </c>
      <c r="I122">
        <v>9.7748416879953968E-6</v>
      </c>
      <c r="J122">
        <v>2.327427462088</v>
      </c>
      <c r="K122">
        <v>2.327427462088</v>
      </c>
      <c r="L122" s="1"/>
      <c r="M122" s="1"/>
      <c r="N122" s="1">
        <v>43164</v>
      </c>
      <c r="R122">
        <v>-2.8093124561633931E-3</v>
      </c>
      <c r="S122">
        <v>-2.8093124561633931E-3</v>
      </c>
      <c r="T122" t="s">
        <v>32</v>
      </c>
      <c r="U122" t="s">
        <v>32</v>
      </c>
      <c r="AA122">
        <v>7.1412171385353915E-3</v>
      </c>
      <c r="AC122" t="s">
        <v>42</v>
      </c>
      <c r="AD122" t="s">
        <v>42</v>
      </c>
      <c r="AF122">
        <v>1.36</v>
      </c>
      <c r="AG122">
        <v>1.36</v>
      </c>
      <c r="AH122" t="s">
        <v>244</v>
      </c>
      <c r="AI122" t="s">
        <v>244</v>
      </c>
      <c r="AJ122">
        <v>-3.4794426894559998E-3</v>
      </c>
      <c r="AK122">
        <v>0</v>
      </c>
      <c r="AL122">
        <v>3.4794426894559998E-3</v>
      </c>
      <c r="AN122" t="s">
        <v>42</v>
      </c>
      <c r="AO122" t="s">
        <v>42</v>
      </c>
    </row>
    <row r="123" spans="1:43" x14ac:dyDescent="0.2">
      <c r="A123">
        <v>121</v>
      </c>
      <c r="B123">
        <v>95</v>
      </c>
      <c r="C123">
        <v>6</v>
      </c>
      <c r="F123" t="s">
        <v>29</v>
      </c>
      <c r="G123" t="s">
        <v>578</v>
      </c>
      <c r="I123">
        <v>7.4238656248447883E-6</v>
      </c>
      <c r="J123">
        <v>2.4538350857053</v>
      </c>
      <c r="K123">
        <v>2.4538350857053</v>
      </c>
      <c r="L123" s="1"/>
      <c r="M123" s="1"/>
      <c r="N123" s="1">
        <v>43164</v>
      </c>
      <c r="R123">
        <v>-2.8093124561633931E-3</v>
      </c>
      <c r="S123">
        <v>-2.8093124561633931E-3</v>
      </c>
      <c r="T123" t="s">
        <v>32</v>
      </c>
      <c r="U123" t="s">
        <v>32</v>
      </c>
      <c r="W123" t="s">
        <v>261</v>
      </c>
      <c r="Z123" t="s">
        <v>31</v>
      </c>
      <c r="AA123">
        <v>5.4236618992442882E-3</v>
      </c>
      <c r="AC123" t="s">
        <v>42</v>
      </c>
      <c r="AD123" t="s">
        <v>42</v>
      </c>
      <c r="AE123" t="s">
        <v>41</v>
      </c>
      <c r="AF123">
        <v>1.5</v>
      </c>
      <c r="AG123">
        <v>1.5</v>
      </c>
      <c r="AH123" t="s">
        <v>244</v>
      </c>
      <c r="AI123" t="s">
        <v>244</v>
      </c>
      <c r="AJ123">
        <v>-2.6425916449975E-3</v>
      </c>
      <c r="AK123">
        <v>0</v>
      </c>
      <c r="AL123">
        <v>2.6425916449975E-3</v>
      </c>
      <c r="AM123" t="s">
        <v>41</v>
      </c>
      <c r="AN123" t="s">
        <v>42</v>
      </c>
      <c r="AO123" t="s">
        <v>42</v>
      </c>
      <c r="AP123" t="s">
        <v>31</v>
      </c>
    </row>
    <row r="124" spans="1:43" x14ac:dyDescent="0.2">
      <c r="A124">
        <v>122</v>
      </c>
      <c r="B124">
        <v>95</v>
      </c>
      <c r="C124">
        <v>6</v>
      </c>
      <c r="F124" t="s">
        <v>29</v>
      </c>
      <c r="G124" t="s">
        <v>579</v>
      </c>
      <c r="I124">
        <v>4.9802958902563796E-6</v>
      </c>
      <c r="J124">
        <v>2.9873520321695999</v>
      </c>
      <c r="K124">
        <v>2.9873520321695999</v>
      </c>
      <c r="L124" s="1"/>
      <c r="M124" s="1"/>
      <c r="N124" s="1">
        <v>43164</v>
      </c>
      <c r="R124">
        <v>-2.8093124561633931E-3</v>
      </c>
      <c r="S124">
        <v>-2.8093124561633931E-3</v>
      </c>
      <c r="T124" t="s">
        <v>32</v>
      </c>
      <c r="U124" t="s">
        <v>32</v>
      </c>
      <c r="W124" t="s">
        <v>261</v>
      </c>
      <c r="Z124" t="s">
        <v>31</v>
      </c>
      <c r="AA124">
        <v>3.6384603967708766E-3</v>
      </c>
      <c r="AC124" t="s">
        <v>42</v>
      </c>
      <c r="AD124" t="s">
        <v>42</v>
      </c>
      <c r="AE124" t="s">
        <v>41</v>
      </c>
      <c r="AF124">
        <v>1.5</v>
      </c>
      <c r="AG124">
        <v>1.5</v>
      </c>
      <c r="AH124" t="s">
        <v>244</v>
      </c>
      <c r="AI124" t="s">
        <v>244</v>
      </c>
      <c r="AJ124">
        <v>-1.7727810515807999E-3</v>
      </c>
      <c r="AK124">
        <v>0</v>
      </c>
      <c r="AL124">
        <v>1.7727810515807999E-3</v>
      </c>
      <c r="AM124" t="s">
        <v>41</v>
      </c>
      <c r="AN124" t="s">
        <v>42</v>
      </c>
      <c r="AO124" t="s">
        <v>42</v>
      </c>
      <c r="AP124" t="s">
        <v>31</v>
      </c>
    </row>
    <row r="125" spans="1:43" x14ac:dyDescent="0.2">
      <c r="A125">
        <v>123</v>
      </c>
      <c r="B125">
        <v>98</v>
      </c>
      <c r="C125">
        <v>6</v>
      </c>
      <c r="F125" t="s">
        <v>29</v>
      </c>
      <c r="G125" t="s">
        <v>580</v>
      </c>
      <c r="I125">
        <v>1.1835628616672446E-5</v>
      </c>
      <c r="J125">
        <v>3.1629419347023999</v>
      </c>
      <c r="K125">
        <v>3.1629419347023999</v>
      </c>
      <c r="L125" s="1"/>
      <c r="M125" s="1"/>
      <c r="N125" s="1">
        <v>43164</v>
      </c>
      <c r="R125">
        <v>-4.4913223753632802E-3</v>
      </c>
      <c r="S125">
        <v>-4.4913223753632802E-3</v>
      </c>
      <c r="T125" t="s">
        <v>32</v>
      </c>
      <c r="U125" t="s">
        <v>32</v>
      </c>
      <c r="W125" t="s">
        <v>261</v>
      </c>
      <c r="Z125" t="s">
        <v>31</v>
      </c>
      <c r="AA125">
        <v>8.6467685739117627E-3</v>
      </c>
      <c r="AC125" t="s">
        <v>42</v>
      </c>
      <c r="AD125" t="s">
        <v>42</v>
      </c>
      <c r="AE125" t="s">
        <v>41</v>
      </c>
      <c r="AF125">
        <v>1.49</v>
      </c>
      <c r="AG125">
        <v>1.49</v>
      </c>
      <c r="AH125" t="s">
        <v>244</v>
      </c>
      <c r="AI125" t="s">
        <v>244</v>
      </c>
      <c r="AJ125">
        <v>-2.6352213507531003E-3</v>
      </c>
      <c r="AK125">
        <v>0</v>
      </c>
      <c r="AL125">
        <v>2.6352213507531003E-3</v>
      </c>
      <c r="AM125" t="s">
        <v>41</v>
      </c>
      <c r="AN125" t="s">
        <v>42</v>
      </c>
      <c r="AO125" t="s">
        <v>42</v>
      </c>
      <c r="AP125" t="s">
        <v>31</v>
      </c>
    </row>
    <row r="126" spans="1:43" x14ac:dyDescent="0.2">
      <c r="A126">
        <v>124</v>
      </c>
      <c r="B126">
        <v>98</v>
      </c>
      <c r="C126">
        <v>6</v>
      </c>
      <c r="F126" t="s">
        <v>29</v>
      </c>
      <c r="G126" t="s">
        <v>581</v>
      </c>
      <c r="I126">
        <v>7.935297257230701E-6</v>
      </c>
      <c r="J126">
        <v>3.2394068266902001</v>
      </c>
      <c r="K126">
        <v>3.2394068266902001</v>
      </c>
      <c r="L126" s="1"/>
      <c r="M126" s="1"/>
      <c r="N126" s="1">
        <v>43164</v>
      </c>
      <c r="R126">
        <v>-4.4913223753632802E-3</v>
      </c>
      <c r="S126">
        <v>-4.4913223753632802E-3</v>
      </c>
      <c r="T126" t="s">
        <v>32</v>
      </c>
      <c r="U126" t="s">
        <v>32</v>
      </c>
      <c r="W126" t="s">
        <v>261</v>
      </c>
      <c r="Z126" t="s">
        <v>31</v>
      </c>
      <c r="AA126">
        <v>5.7972990848847248E-3</v>
      </c>
      <c r="AC126" t="s">
        <v>42</v>
      </c>
      <c r="AD126" t="s">
        <v>42</v>
      </c>
      <c r="AE126" t="s">
        <v>41</v>
      </c>
      <c r="AF126">
        <v>1.5</v>
      </c>
      <c r="AG126">
        <v>1.5</v>
      </c>
      <c r="AH126" t="s">
        <v>244</v>
      </c>
      <c r="AI126" t="s">
        <v>244</v>
      </c>
      <c r="AJ126">
        <v>-1.7668064311658E-3</v>
      </c>
      <c r="AK126">
        <v>0</v>
      </c>
      <c r="AL126">
        <v>1.7668064311658E-3</v>
      </c>
      <c r="AM126" t="s">
        <v>41</v>
      </c>
      <c r="AN126" t="s">
        <v>42</v>
      </c>
      <c r="AO126" t="s">
        <v>42</v>
      </c>
      <c r="AP126" t="s">
        <v>31</v>
      </c>
    </row>
    <row r="127" spans="1:43" x14ac:dyDescent="0.2">
      <c r="A127">
        <v>125</v>
      </c>
      <c r="B127">
        <v>98</v>
      </c>
      <c r="C127">
        <v>6</v>
      </c>
      <c r="F127" t="s">
        <v>29</v>
      </c>
      <c r="G127" t="s">
        <v>582</v>
      </c>
      <c r="I127">
        <v>1.204313854562077E-5</v>
      </c>
      <c r="J127">
        <v>4.1224278919803004</v>
      </c>
      <c r="K127">
        <v>4.1224278919803004</v>
      </c>
      <c r="L127" s="1"/>
      <c r="M127" s="1"/>
      <c r="N127" s="1">
        <v>43164</v>
      </c>
      <c r="R127">
        <v>-4.4913223753632802E-3</v>
      </c>
      <c r="S127">
        <v>-4.4913223753632802E-3</v>
      </c>
      <c r="T127" t="s">
        <v>32</v>
      </c>
      <c r="U127" t="s">
        <v>32</v>
      </c>
      <c r="AA127">
        <v>8.7983693372102548E-3</v>
      </c>
      <c r="AC127" t="s">
        <v>42</v>
      </c>
      <c r="AD127" t="s">
        <v>42</v>
      </c>
      <c r="AF127">
        <v>1.66</v>
      </c>
      <c r="AG127">
        <v>1.66</v>
      </c>
      <c r="AH127" t="s">
        <v>244</v>
      </c>
      <c r="AI127" t="s">
        <v>244</v>
      </c>
      <c r="AJ127">
        <v>-2.6814237632289003E-3</v>
      </c>
      <c r="AK127">
        <v>0</v>
      </c>
      <c r="AL127">
        <v>2.6814237632289003E-3</v>
      </c>
      <c r="AN127" t="s">
        <v>42</v>
      </c>
      <c r="AO127" t="s">
        <v>42</v>
      </c>
    </row>
    <row r="128" spans="1:43" x14ac:dyDescent="0.2">
      <c r="A128">
        <v>126</v>
      </c>
      <c r="B128">
        <v>98</v>
      </c>
      <c r="C128">
        <v>6</v>
      </c>
      <c r="F128" t="s">
        <v>29</v>
      </c>
      <c r="G128" t="s">
        <v>583</v>
      </c>
      <c r="I128">
        <v>1.215481077736217E-5</v>
      </c>
      <c r="J128">
        <v>4.3876277707132996</v>
      </c>
      <c r="K128">
        <v>4.3876277707132996</v>
      </c>
      <c r="L128" s="1"/>
      <c r="M128" s="1"/>
      <c r="N128" s="1">
        <v>43164</v>
      </c>
      <c r="R128">
        <v>-4.4913223753632802E-3</v>
      </c>
      <c r="S128">
        <v>-4.4913223753632802E-3</v>
      </c>
      <c r="T128" t="s">
        <v>32</v>
      </c>
      <c r="U128" t="s">
        <v>32</v>
      </c>
      <c r="AA128">
        <v>8.8799538457542213E-3</v>
      </c>
      <c r="AC128" t="s">
        <v>42</v>
      </c>
      <c r="AD128" t="s">
        <v>42</v>
      </c>
      <c r="AF128">
        <v>1.7</v>
      </c>
      <c r="AG128">
        <v>1.7</v>
      </c>
      <c r="AH128" t="s">
        <v>244</v>
      </c>
      <c r="AI128" t="s">
        <v>244</v>
      </c>
      <c r="AJ128">
        <v>-2.7062877614922997E-3</v>
      </c>
      <c r="AK128">
        <v>0</v>
      </c>
      <c r="AL128">
        <v>2.7062877614922997E-3</v>
      </c>
      <c r="AN128" t="s">
        <v>42</v>
      </c>
      <c r="AO128" t="s">
        <v>42</v>
      </c>
    </row>
    <row r="129" spans="1:43" x14ac:dyDescent="0.2">
      <c r="A129">
        <v>127</v>
      </c>
      <c r="B129">
        <v>98</v>
      </c>
      <c r="C129">
        <v>6</v>
      </c>
      <c r="F129" t="s">
        <v>29</v>
      </c>
      <c r="G129" t="s">
        <v>584</v>
      </c>
      <c r="I129">
        <v>8.1604652472099472E-6</v>
      </c>
      <c r="J129">
        <v>4.7265741298321</v>
      </c>
      <c r="K129">
        <v>4.7265741298321</v>
      </c>
      <c r="L129" s="1"/>
      <c r="M129" s="1"/>
      <c r="N129" s="1">
        <v>43164</v>
      </c>
      <c r="R129">
        <v>-4.4913223753632802E-3</v>
      </c>
      <c r="S129">
        <v>-4.4913223753632802E-3</v>
      </c>
      <c r="T129" t="s">
        <v>32</v>
      </c>
      <c r="U129" t="s">
        <v>32</v>
      </c>
      <c r="W129" t="s">
        <v>261</v>
      </c>
      <c r="Z129" t="s">
        <v>31</v>
      </c>
      <c r="AA129">
        <v>5.9618003177859319E-3</v>
      </c>
      <c r="AC129" s="8" t="s">
        <v>42</v>
      </c>
      <c r="AD129" t="s">
        <v>42</v>
      </c>
      <c r="AE129" t="s">
        <v>41</v>
      </c>
      <c r="AF129">
        <v>1.73</v>
      </c>
      <c r="AG129">
        <v>1.73</v>
      </c>
      <c r="AH129" t="s">
        <v>244</v>
      </c>
      <c r="AI129" t="s">
        <v>244</v>
      </c>
      <c r="AJ129">
        <v>-1.8169404387388E-3</v>
      </c>
      <c r="AK129">
        <v>0</v>
      </c>
      <c r="AL129">
        <v>1.8169404387388E-3</v>
      </c>
      <c r="AM129" t="s">
        <v>41</v>
      </c>
      <c r="AN129" t="s">
        <v>42</v>
      </c>
      <c r="AO129" t="s">
        <v>42</v>
      </c>
      <c r="AP129" t="s">
        <v>31</v>
      </c>
    </row>
    <row r="130" spans="1:43" x14ac:dyDescent="0.2">
      <c r="A130">
        <v>128</v>
      </c>
      <c r="B130">
        <v>101</v>
      </c>
      <c r="C130">
        <v>6</v>
      </c>
      <c r="F130" t="s">
        <v>29</v>
      </c>
      <c r="G130" t="s">
        <v>585</v>
      </c>
      <c r="I130">
        <v>1.5540916876996022E-5</v>
      </c>
      <c r="J130">
        <v>5.2295829040438999</v>
      </c>
      <c r="K130">
        <v>5.2295829040438999</v>
      </c>
      <c r="L130" s="1"/>
      <c r="M130" s="1"/>
      <c r="N130" s="1">
        <v>43164</v>
      </c>
      <c r="R130">
        <v>-5.6906384243591525E-3</v>
      </c>
      <c r="S130">
        <v>-5.6906384243591525E-3</v>
      </c>
      <c r="T130" t="s">
        <v>32</v>
      </c>
      <c r="U130" t="s">
        <v>32</v>
      </c>
      <c r="AA130">
        <v>1.1353745205598073E-2</v>
      </c>
      <c r="AC130" t="s">
        <v>42</v>
      </c>
      <c r="AD130" t="s">
        <v>42</v>
      </c>
      <c r="AF130">
        <v>1.83</v>
      </c>
      <c r="AG130">
        <v>1.83</v>
      </c>
      <c r="AH130" t="s">
        <v>244</v>
      </c>
      <c r="AI130" t="s">
        <v>244</v>
      </c>
      <c r="AJ130">
        <v>-2.7309619269557002E-3</v>
      </c>
      <c r="AK130">
        <v>0</v>
      </c>
      <c r="AL130">
        <v>2.7309619269557002E-3</v>
      </c>
      <c r="AN130" t="s">
        <v>42</v>
      </c>
      <c r="AO130" t="s">
        <v>42</v>
      </c>
    </row>
    <row r="131" spans="1:43" x14ac:dyDescent="0.2">
      <c r="A131">
        <v>129</v>
      </c>
      <c r="B131">
        <v>101</v>
      </c>
      <c r="C131">
        <v>6</v>
      </c>
      <c r="F131" t="s">
        <v>29</v>
      </c>
      <c r="G131" t="s">
        <v>586</v>
      </c>
      <c r="I131">
        <v>1.0414491294451707E-5</v>
      </c>
      <c r="J131">
        <v>6.0474140025301004</v>
      </c>
      <c r="K131">
        <v>6.0474140025301004</v>
      </c>
      <c r="L131" s="1"/>
      <c r="M131" s="1"/>
      <c r="N131" s="1">
        <v>43164</v>
      </c>
      <c r="R131">
        <v>-5.6906384243591525E-3</v>
      </c>
      <c r="S131">
        <v>-5.6906384243591525E-3</v>
      </c>
      <c r="T131" t="s">
        <v>32</v>
      </c>
      <c r="U131" t="s">
        <v>32</v>
      </c>
      <c r="AA131">
        <v>7.6085266743914142E-3</v>
      </c>
      <c r="AC131" t="s">
        <v>42</v>
      </c>
      <c r="AD131" t="s">
        <v>42</v>
      </c>
      <c r="AF131">
        <v>1.95</v>
      </c>
      <c r="AG131">
        <v>1.95</v>
      </c>
      <c r="AH131" t="s">
        <v>244</v>
      </c>
      <c r="AI131" t="s">
        <v>244</v>
      </c>
      <c r="AJ131">
        <v>-1.8301094741623E-3</v>
      </c>
      <c r="AK131">
        <v>0</v>
      </c>
      <c r="AL131">
        <v>1.8301094741623E-3</v>
      </c>
      <c r="AN131" t="s">
        <v>42</v>
      </c>
      <c r="AO131" t="s">
        <v>42</v>
      </c>
    </row>
    <row r="132" spans="1:43" x14ac:dyDescent="0.2">
      <c r="A132">
        <v>130</v>
      </c>
      <c r="B132">
        <v>101</v>
      </c>
      <c r="C132">
        <v>6</v>
      </c>
      <c r="D132">
        <v>2000</v>
      </c>
      <c r="E132" t="s">
        <v>306</v>
      </c>
      <c r="F132" t="s">
        <v>29</v>
      </c>
      <c r="G132" t="s">
        <v>587</v>
      </c>
      <c r="H132">
        <v>7.0893882831370271E-3</v>
      </c>
      <c r="I132">
        <v>1.0160396879081522E-5</v>
      </c>
      <c r="J132">
        <v>7.38</v>
      </c>
      <c r="K132">
        <v>7.3868393500465004</v>
      </c>
      <c r="L132" s="1">
        <v>46235</v>
      </c>
      <c r="M132" s="1">
        <v>43165</v>
      </c>
      <c r="N132" s="1">
        <v>43164</v>
      </c>
      <c r="R132">
        <v>-5.6906384243591525E-3</v>
      </c>
      <c r="S132">
        <v>-5.6906384243591525E-3</v>
      </c>
      <c r="T132" t="s">
        <v>32</v>
      </c>
      <c r="U132" t="s">
        <v>32</v>
      </c>
      <c r="V132">
        <v>59890913</v>
      </c>
      <c r="W132" t="s">
        <v>261</v>
      </c>
      <c r="X132" t="s">
        <v>308</v>
      </c>
      <c r="Y132">
        <v>2000</v>
      </c>
      <c r="Z132" t="s">
        <v>31</v>
      </c>
      <c r="AA132">
        <v>7.4228926302026309E-3</v>
      </c>
      <c r="AB132">
        <v>110.75</v>
      </c>
      <c r="AC132" t="s">
        <v>42</v>
      </c>
      <c r="AD132" t="s">
        <v>42</v>
      </c>
      <c r="AE132" t="s">
        <v>41</v>
      </c>
      <c r="AF132">
        <v>8.6714849139223282E-2</v>
      </c>
      <c r="AG132">
        <v>2.17</v>
      </c>
      <c r="AH132" t="s">
        <v>244</v>
      </c>
      <c r="AI132" t="s">
        <v>244</v>
      </c>
      <c r="AJ132">
        <v>-1.785458172072447E-3</v>
      </c>
      <c r="AK132">
        <v>9.6062171858225299E-4</v>
      </c>
      <c r="AL132">
        <v>2.7460798906547E-3</v>
      </c>
      <c r="AM132" t="s">
        <v>41</v>
      </c>
      <c r="AN132" t="s">
        <v>138</v>
      </c>
      <c r="AO132" t="s">
        <v>42</v>
      </c>
      <c r="AP132" t="s">
        <v>31</v>
      </c>
      <c r="AQ132">
        <v>8.3300167406721466E-5</v>
      </c>
    </row>
    <row r="133" spans="1:43" x14ac:dyDescent="0.2">
      <c r="A133">
        <v>131</v>
      </c>
      <c r="B133">
        <v>101</v>
      </c>
      <c r="C133">
        <v>6</v>
      </c>
      <c r="F133" t="s">
        <v>29</v>
      </c>
      <c r="G133" t="s">
        <v>588</v>
      </c>
      <c r="I133">
        <v>1.0494864896364031E-5</v>
      </c>
      <c r="J133">
        <v>7.6009769123002</v>
      </c>
      <c r="K133">
        <v>7.6009769123002</v>
      </c>
      <c r="L133" s="1"/>
      <c r="M133" s="1"/>
      <c r="N133" s="1">
        <v>43164</v>
      </c>
      <c r="R133">
        <v>-5.6906384243591525E-3</v>
      </c>
      <c r="S133">
        <v>-5.6906384243591525E-3</v>
      </c>
      <c r="T133" t="s">
        <v>32</v>
      </c>
      <c r="U133" t="s">
        <v>32</v>
      </c>
      <c r="AA133">
        <v>7.6672453075706092E-3</v>
      </c>
      <c r="AC133" t="s">
        <v>42</v>
      </c>
      <c r="AD133" t="s">
        <v>42</v>
      </c>
      <c r="AF133">
        <v>2.19</v>
      </c>
      <c r="AG133">
        <v>2.19</v>
      </c>
      <c r="AH133" t="s">
        <v>244</v>
      </c>
      <c r="AI133" t="s">
        <v>244</v>
      </c>
      <c r="AJ133">
        <v>-1.8442333027943001E-3</v>
      </c>
      <c r="AK133">
        <v>0</v>
      </c>
      <c r="AL133">
        <v>1.8442333027943001E-3</v>
      </c>
      <c r="AN133" t="s">
        <v>42</v>
      </c>
      <c r="AO133" t="s">
        <v>42</v>
      </c>
    </row>
    <row r="134" spans="1:43" x14ac:dyDescent="0.2">
      <c r="A134">
        <v>132</v>
      </c>
      <c r="B134">
        <v>95</v>
      </c>
      <c r="C134">
        <v>6</v>
      </c>
      <c r="F134" t="s">
        <v>29</v>
      </c>
      <c r="G134" t="s">
        <v>589</v>
      </c>
      <c r="I134">
        <v>4.7404845305324163E-6</v>
      </c>
      <c r="J134">
        <v>1.8761853106909001</v>
      </c>
      <c r="K134">
        <v>1.8761853106909001</v>
      </c>
      <c r="L134" s="1"/>
      <c r="M134" s="1"/>
      <c r="N134" s="1">
        <v>43164</v>
      </c>
      <c r="R134">
        <v>-2.8093124561633931E-3</v>
      </c>
      <c r="S134">
        <v>-2.8093124561633931E-3</v>
      </c>
      <c r="T134" t="s">
        <v>32</v>
      </c>
      <c r="U134" t="s">
        <v>32</v>
      </c>
      <c r="AA134">
        <v>3.4632611406868173E-3</v>
      </c>
      <c r="AC134" t="s">
        <v>42</v>
      </c>
      <c r="AD134" t="s">
        <v>42</v>
      </c>
      <c r="AF134">
        <v>1.34</v>
      </c>
      <c r="AG134">
        <v>1.34</v>
      </c>
      <c r="AH134" t="s">
        <v>244</v>
      </c>
      <c r="AI134" t="s">
        <v>244</v>
      </c>
      <c r="AJ134">
        <v>-1.6874180442735002E-3</v>
      </c>
      <c r="AK134">
        <v>0</v>
      </c>
      <c r="AL134">
        <v>1.6874180442735002E-3</v>
      </c>
      <c r="AN134" t="s">
        <v>42</v>
      </c>
      <c r="AO134" t="s">
        <v>42</v>
      </c>
    </row>
    <row r="135" spans="1:43" x14ac:dyDescent="0.2">
      <c r="A135">
        <v>133</v>
      </c>
      <c r="B135">
        <v>95</v>
      </c>
      <c r="C135">
        <v>6</v>
      </c>
      <c r="F135" t="s">
        <v>29</v>
      </c>
      <c r="G135" t="s">
        <v>590</v>
      </c>
      <c r="I135">
        <v>4.7715419874058752E-6</v>
      </c>
      <c r="J135">
        <v>2.8258060339864999</v>
      </c>
      <c r="K135">
        <v>2.8258060339864999</v>
      </c>
      <c r="L135" s="1"/>
      <c r="M135" s="1"/>
      <c r="N135" s="1">
        <v>43164</v>
      </c>
      <c r="R135">
        <v>-2.8093124561633931E-3</v>
      </c>
      <c r="S135">
        <v>-2.8093124561633931E-3</v>
      </c>
      <c r="T135" t="s">
        <v>32</v>
      </c>
      <c r="U135" t="s">
        <v>32</v>
      </c>
      <c r="AA135">
        <v>3.485950822052854E-3</v>
      </c>
      <c r="AC135" t="s">
        <v>42</v>
      </c>
      <c r="AD135" t="s">
        <v>42</v>
      </c>
      <c r="AF135">
        <v>1.49</v>
      </c>
      <c r="AG135">
        <v>1.49</v>
      </c>
      <c r="AH135" t="s">
        <v>244</v>
      </c>
      <c r="AI135" t="s">
        <v>244</v>
      </c>
      <c r="AJ135">
        <v>-1.6984732249834E-3</v>
      </c>
      <c r="AK135">
        <v>0</v>
      </c>
      <c r="AL135">
        <v>1.6984732249834E-3</v>
      </c>
      <c r="AN135" t="s">
        <v>42</v>
      </c>
      <c r="AO135" t="s">
        <v>42</v>
      </c>
    </row>
    <row r="136" spans="1:43" x14ac:dyDescent="0.2">
      <c r="A136">
        <v>134</v>
      </c>
      <c r="B136">
        <v>98</v>
      </c>
      <c r="C136">
        <v>6</v>
      </c>
      <c r="F136" t="s">
        <v>29</v>
      </c>
      <c r="G136" t="s">
        <v>591</v>
      </c>
      <c r="I136">
        <v>7.6671430939801884E-6</v>
      </c>
      <c r="J136">
        <v>3.119953038087</v>
      </c>
      <c r="K136">
        <v>3.119953038087</v>
      </c>
      <c r="L136" s="1"/>
      <c r="M136" s="1"/>
      <c r="N136" s="1">
        <v>43164</v>
      </c>
      <c r="R136">
        <v>-4.4913223753632802E-3</v>
      </c>
      <c r="S136">
        <v>-4.4913223753632802E-3</v>
      </c>
      <c r="T136" t="s">
        <v>32</v>
      </c>
      <c r="U136" t="s">
        <v>32</v>
      </c>
      <c r="AA136">
        <v>5.6013933947981071E-3</v>
      </c>
      <c r="AC136" t="s">
        <v>42</v>
      </c>
      <c r="AD136" t="s">
        <v>42</v>
      </c>
      <c r="AF136">
        <v>1.53</v>
      </c>
      <c r="AG136">
        <v>1.53</v>
      </c>
      <c r="AH136" t="s">
        <v>244</v>
      </c>
      <c r="AI136" t="s">
        <v>244</v>
      </c>
      <c r="AJ136">
        <v>-1.7071014844175E-3</v>
      </c>
      <c r="AK136">
        <v>0</v>
      </c>
      <c r="AL136">
        <v>1.7071014844175E-3</v>
      </c>
      <c r="AN136" t="s">
        <v>42</v>
      </c>
      <c r="AO136" t="s">
        <v>42</v>
      </c>
    </row>
    <row r="137" spans="1:43" x14ac:dyDescent="0.2">
      <c r="A137">
        <v>135</v>
      </c>
      <c r="B137">
        <v>98</v>
      </c>
      <c r="C137">
        <v>6</v>
      </c>
      <c r="F137" t="s">
        <v>29</v>
      </c>
      <c r="G137" t="s">
        <v>592</v>
      </c>
      <c r="I137">
        <v>7.7958727393989318E-6</v>
      </c>
      <c r="J137">
        <v>4.3831290488701002</v>
      </c>
      <c r="K137">
        <v>4.3831290488701002</v>
      </c>
      <c r="L137" s="1"/>
      <c r="M137" s="1"/>
      <c r="N137" s="1">
        <v>43164</v>
      </c>
      <c r="R137">
        <v>-4.4913223753632802E-3</v>
      </c>
      <c r="S137">
        <v>-4.4913223753632802E-3</v>
      </c>
      <c r="T137" t="s">
        <v>32</v>
      </c>
      <c r="U137" t="s">
        <v>32</v>
      </c>
      <c r="AA137">
        <v>5.6954395573288923E-3</v>
      </c>
      <c r="AC137" s="8" t="s">
        <v>42</v>
      </c>
      <c r="AD137" t="s">
        <v>42</v>
      </c>
      <c r="AF137">
        <v>1.71</v>
      </c>
      <c r="AG137">
        <v>1.71</v>
      </c>
      <c r="AH137" t="s">
        <v>244</v>
      </c>
      <c r="AI137" t="s">
        <v>244</v>
      </c>
      <c r="AJ137">
        <v>-1.7357633426989E-3</v>
      </c>
      <c r="AK137">
        <v>0</v>
      </c>
      <c r="AL137">
        <v>1.7357633426989E-3</v>
      </c>
      <c r="AN137" t="s">
        <v>42</v>
      </c>
      <c r="AO137" t="s">
        <v>42</v>
      </c>
    </row>
    <row r="138" spans="1:43" x14ac:dyDescent="0.2">
      <c r="A138">
        <v>136</v>
      </c>
      <c r="B138">
        <v>101</v>
      </c>
      <c r="C138">
        <v>6</v>
      </c>
      <c r="F138" t="s">
        <v>29</v>
      </c>
      <c r="G138" t="s">
        <v>593</v>
      </c>
      <c r="I138">
        <v>1.4839079905091536E-5</v>
      </c>
      <c r="J138">
        <v>6.1099580580152999</v>
      </c>
      <c r="K138">
        <v>6.1099580580152999</v>
      </c>
      <c r="L138" s="1"/>
      <c r="M138" s="1"/>
      <c r="N138" s="1">
        <v>43164</v>
      </c>
      <c r="R138">
        <v>-5.6906384243591525E-3</v>
      </c>
      <c r="S138">
        <v>-5.6906384243591525E-3</v>
      </c>
      <c r="T138" t="s">
        <v>32</v>
      </c>
      <c r="U138" t="s">
        <v>32</v>
      </c>
      <c r="AA138">
        <v>1.0841003375888713E-2</v>
      </c>
      <c r="AC138" t="s">
        <v>42</v>
      </c>
      <c r="AD138" t="s">
        <v>42</v>
      </c>
      <c r="AF138">
        <v>1.95</v>
      </c>
      <c r="AG138">
        <v>1.95</v>
      </c>
      <c r="AH138" t="s">
        <v>244</v>
      </c>
      <c r="AI138" t="s">
        <v>244</v>
      </c>
      <c r="AJ138">
        <v>-2.6076300756645997E-3</v>
      </c>
      <c r="AK138">
        <v>0</v>
      </c>
      <c r="AL138">
        <v>2.6076300756645997E-3</v>
      </c>
      <c r="AN138" t="s">
        <v>42</v>
      </c>
      <c r="AO138" t="s">
        <v>42</v>
      </c>
    </row>
    <row r="139" spans="1:43" x14ac:dyDescent="0.2">
      <c r="A139">
        <v>137</v>
      </c>
      <c r="B139">
        <v>101</v>
      </c>
      <c r="C139">
        <v>6</v>
      </c>
      <c r="F139" t="s">
        <v>29</v>
      </c>
      <c r="G139" t="s">
        <v>594</v>
      </c>
      <c r="I139">
        <v>9.8102724439645334E-6</v>
      </c>
      <c r="J139">
        <v>6.0195958088603003</v>
      </c>
      <c r="K139">
        <v>6.0195958088603003</v>
      </c>
      <c r="L139" s="1"/>
      <c r="M139" s="1"/>
      <c r="N139" s="1">
        <v>43164</v>
      </c>
      <c r="R139">
        <v>-5.6906384243591525E-3</v>
      </c>
      <c r="S139">
        <v>-5.6906384243591525E-3</v>
      </c>
      <c r="T139" t="s">
        <v>32</v>
      </c>
      <c r="U139" t="s">
        <v>32</v>
      </c>
      <c r="AA139">
        <v>7.167101825964018E-3</v>
      </c>
      <c r="AC139" t="s">
        <v>42</v>
      </c>
      <c r="AD139" t="s">
        <v>42</v>
      </c>
      <c r="AF139">
        <v>1.93</v>
      </c>
      <c r="AG139">
        <v>1.93</v>
      </c>
      <c r="AH139" t="s">
        <v>244</v>
      </c>
      <c r="AI139" t="s">
        <v>244</v>
      </c>
      <c r="AJ139">
        <v>-1.7239317827629E-3</v>
      </c>
      <c r="AK139">
        <v>0</v>
      </c>
      <c r="AL139">
        <v>1.7239317827629E-3</v>
      </c>
      <c r="AN139" t="s">
        <v>42</v>
      </c>
      <c r="AO139" t="s">
        <v>42</v>
      </c>
    </row>
    <row r="140" spans="1:43" x14ac:dyDescent="0.2">
      <c r="A140">
        <v>138</v>
      </c>
      <c r="B140">
        <v>101</v>
      </c>
      <c r="C140">
        <v>6</v>
      </c>
      <c r="F140" t="s">
        <v>29</v>
      </c>
      <c r="G140" t="s">
        <v>1024</v>
      </c>
      <c r="I140">
        <v>1.4993407908590572E-5</v>
      </c>
      <c r="J140">
        <v>6.8950521990931</v>
      </c>
      <c r="K140">
        <v>6.8950521990931</v>
      </c>
      <c r="L140" s="1"/>
      <c r="M140" s="1"/>
      <c r="N140" s="1">
        <v>43164</v>
      </c>
      <c r="R140">
        <v>-5.6906384243591525E-3</v>
      </c>
      <c r="S140">
        <v>-5.6906384243591525E-3</v>
      </c>
      <c r="T140" t="s">
        <v>32</v>
      </c>
      <c r="U140" t="s">
        <v>32</v>
      </c>
      <c r="AA140">
        <v>1.095375095981089E-2</v>
      </c>
      <c r="AC140" t="s">
        <v>42</v>
      </c>
      <c r="AD140" t="s">
        <v>42</v>
      </c>
      <c r="AF140">
        <v>2.08</v>
      </c>
      <c r="AG140">
        <v>2.08</v>
      </c>
      <c r="AH140" t="s">
        <v>244</v>
      </c>
      <c r="AI140" t="s">
        <v>244</v>
      </c>
      <c r="AJ140">
        <v>-2.6347497047801002E-3</v>
      </c>
      <c r="AK140">
        <v>0</v>
      </c>
      <c r="AL140">
        <v>2.6347497047801002E-3</v>
      </c>
      <c r="AN140" t="s">
        <v>42</v>
      </c>
      <c r="AO140" t="s">
        <v>42</v>
      </c>
    </row>
    <row r="141" spans="1:43" x14ac:dyDescent="0.2">
      <c r="A141">
        <v>139</v>
      </c>
      <c r="B141">
        <v>101</v>
      </c>
      <c r="C141">
        <v>6</v>
      </c>
      <c r="F141" t="s">
        <v>29</v>
      </c>
      <c r="G141" t="s">
        <v>1025</v>
      </c>
      <c r="I141">
        <v>9.9152981169476123E-6</v>
      </c>
      <c r="J141">
        <v>6.8203749679434997</v>
      </c>
      <c r="K141">
        <v>6.8203749679434997</v>
      </c>
      <c r="L141" s="1"/>
      <c r="M141" s="1"/>
      <c r="N141" s="1">
        <v>43164</v>
      </c>
      <c r="R141">
        <v>-5.6906384243591525E-3</v>
      </c>
      <c r="S141">
        <v>-5.6906384243591525E-3</v>
      </c>
      <c r="T141" t="s">
        <v>32</v>
      </c>
      <c r="U141" t="s">
        <v>32</v>
      </c>
      <c r="AA141">
        <v>7.24383055056465E-3</v>
      </c>
      <c r="AC141" t="s">
        <v>42</v>
      </c>
      <c r="AD141" t="s">
        <v>42</v>
      </c>
      <c r="AF141">
        <v>2.06</v>
      </c>
      <c r="AG141">
        <v>2.06</v>
      </c>
      <c r="AH141" t="s">
        <v>244</v>
      </c>
      <c r="AI141" t="s">
        <v>244</v>
      </c>
      <c r="AJ141">
        <v>-1.7423876510066999E-3</v>
      </c>
      <c r="AK141">
        <v>0</v>
      </c>
      <c r="AL141">
        <v>1.7423876510066999E-3</v>
      </c>
      <c r="AN141" t="s">
        <v>42</v>
      </c>
      <c r="AO141" t="s">
        <v>42</v>
      </c>
    </row>
    <row r="142" spans="1:43" x14ac:dyDescent="0.2">
      <c r="A142">
        <v>140</v>
      </c>
      <c r="B142">
        <v>101</v>
      </c>
      <c r="C142">
        <v>6</v>
      </c>
      <c r="F142" t="s">
        <v>29</v>
      </c>
      <c r="G142" t="s">
        <v>595</v>
      </c>
      <c r="I142">
        <v>1.4860475217300718E-5</v>
      </c>
      <c r="J142">
        <v>7.9419729931039003</v>
      </c>
      <c r="K142">
        <v>7.9419729931039003</v>
      </c>
      <c r="L142" s="1"/>
      <c r="M142" s="1"/>
      <c r="N142" s="1">
        <v>43164</v>
      </c>
      <c r="R142">
        <v>-5.6906384243591525E-3</v>
      </c>
      <c r="S142">
        <v>-5.6906384243591525E-3</v>
      </c>
      <c r="T142" t="s">
        <v>32</v>
      </c>
      <c r="U142" t="s">
        <v>32</v>
      </c>
      <c r="W142" t="s">
        <v>261</v>
      </c>
      <c r="Z142" t="s">
        <v>31</v>
      </c>
      <c r="AA142">
        <v>1.0856634173308191E-2</v>
      </c>
      <c r="AC142" t="s">
        <v>42</v>
      </c>
      <c r="AD142" t="s">
        <v>42</v>
      </c>
      <c r="AE142" t="s">
        <v>41</v>
      </c>
      <c r="AF142">
        <v>2.21</v>
      </c>
      <c r="AG142">
        <v>2.21</v>
      </c>
      <c r="AH142" t="s">
        <v>244</v>
      </c>
      <c r="AI142" t="s">
        <v>244</v>
      </c>
      <c r="AJ142">
        <v>-2.6113898141356998E-3</v>
      </c>
      <c r="AK142">
        <v>0</v>
      </c>
      <c r="AL142">
        <v>2.6113898141356998E-3</v>
      </c>
      <c r="AM142" t="s">
        <v>41</v>
      </c>
      <c r="AN142" t="s">
        <v>42</v>
      </c>
      <c r="AO142" t="s">
        <v>42</v>
      </c>
      <c r="AP142" t="s">
        <v>31</v>
      </c>
    </row>
    <row r="143" spans="1:43" x14ac:dyDescent="0.2">
      <c r="A143">
        <v>141</v>
      </c>
      <c r="B143">
        <v>101</v>
      </c>
      <c r="C143">
        <v>6</v>
      </c>
      <c r="F143" t="s">
        <v>29</v>
      </c>
      <c r="G143" t="s">
        <v>1026</v>
      </c>
      <c r="I143">
        <v>2.0032205087991021E-5</v>
      </c>
      <c r="J143">
        <v>8.3824080725312005</v>
      </c>
      <c r="K143">
        <v>8.3824080725312005</v>
      </c>
      <c r="L143" s="1"/>
      <c r="M143" s="1"/>
      <c r="N143" s="1">
        <v>43164</v>
      </c>
      <c r="R143">
        <v>-5.6906384243591525E-3</v>
      </c>
      <c r="S143">
        <v>-5.6906384243591525E-3</v>
      </c>
      <c r="T143" t="s">
        <v>32</v>
      </c>
      <c r="U143" t="s">
        <v>32</v>
      </c>
      <c r="AA143">
        <v>1.4634950709503984E-2</v>
      </c>
      <c r="AC143" t="s">
        <v>42</v>
      </c>
      <c r="AD143" t="s">
        <v>42</v>
      </c>
      <c r="AF143">
        <v>2.2400000000000002</v>
      </c>
      <c r="AG143">
        <v>2.2400000000000002</v>
      </c>
      <c r="AH143" t="s">
        <v>244</v>
      </c>
      <c r="AI143" t="s">
        <v>244</v>
      </c>
      <c r="AJ143">
        <v>-3.5202034629791003E-3</v>
      </c>
      <c r="AK143">
        <v>0</v>
      </c>
      <c r="AL143">
        <v>3.5202034629791003E-3</v>
      </c>
      <c r="AN143" t="s">
        <v>42</v>
      </c>
      <c r="AO143" t="s">
        <v>42</v>
      </c>
    </row>
    <row r="144" spans="1:43" x14ac:dyDescent="0.2">
      <c r="A144">
        <v>142</v>
      </c>
      <c r="B144">
        <v>101</v>
      </c>
      <c r="C144">
        <v>6</v>
      </c>
      <c r="F144" t="s">
        <v>29</v>
      </c>
      <c r="G144" t="s">
        <v>1052</v>
      </c>
      <c r="I144">
        <v>1.0063327929256644E-5</v>
      </c>
      <c r="J144">
        <v>8.8967538459653994</v>
      </c>
      <c r="K144">
        <v>8.8967538459653994</v>
      </c>
      <c r="L144" s="1"/>
      <c r="M144" s="1"/>
      <c r="N144" s="1">
        <v>43164</v>
      </c>
      <c r="R144">
        <v>-5.6906384243591525E-3</v>
      </c>
      <c r="S144">
        <v>-5.6906384243591525E-3</v>
      </c>
      <c r="T144" t="s">
        <v>32</v>
      </c>
      <c r="U144" t="s">
        <v>32</v>
      </c>
      <c r="AA144">
        <v>7.3519768578315685E-3</v>
      </c>
      <c r="AC144" t="s">
        <v>42</v>
      </c>
      <c r="AD144" t="s">
        <v>42</v>
      </c>
      <c r="AF144">
        <v>2.27</v>
      </c>
      <c r="AG144">
        <v>2.27</v>
      </c>
      <c r="AH144" t="s">
        <v>244</v>
      </c>
      <c r="AI144" t="s">
        <v>244</v>
      </c>
      <c r="AJ144">
        <v>-1.7684005165711999E-3</v>
      </c>
      <c r="AK144">
        <v>0</v>
      </c>
      <c r="AL144">
        <v>1.7684005165711999E-3</v>
      </c>
      <c r="AN144" t="s">
        <v>42</v>
      </c>
      <c r="AO144" t="s">
        <v>42</v>
      </c>
    </row>
    <row r="145" spans="1:43" x14ac:dyDescent="0.2">
      <c r="A145">
        <v>143</v>
      </c>
      <c r="B145">
        <v>101</v>
      </c>
      <c r="C145">
        <v>6</v>
      </c>
      <c r="F145" t="s">
        <v>29</v>
      </c>
      <c r="G145" t="s">
        <v>1027</v>
      </c>
      <c r="I145">
        <v>1.8678813740835582E-5</v>
      </c>
      <c r="J145">
        <v>5.0302358209891</v>
      </c>
      <c r="K145">
        <v>5.0302358209891</v>
      </c>
      <c r="L145" s="1"/>
      <c r="M145" s="1"/>
      <c r="N145" s="1">
        <v>43164</v>
      </c>
      <c r="R145">
        <v>-5.6906384243591525E-3</v>
      </c>
      <c r="S145">
        <v>-5.6906384243591525E-3</v>
      </c>
      <c r="T145" t="s">
        <v>32</v>
      </c>
      <c r="U145" t="s">
        <v>32</v>
      </c>
      <c r="AA145">
        <v>1.3646202063546735E-2</v>
      </c>
      <c r="AC145" s="8" t="s">
        <v>42</v>
      </c>
      <c r="AD145" t="s">
        <v>42</v>
      </c>
      <c r="AF145">
        <v>1.78</v>
      </c>
      <c r="AG145">
        <v>1.78</v>
      </c>
      <c r="AH145" t="s">
        <v>244</v>
      </c>
      <c r="AI145" t="s">
        <v>244</v>
      </c>
      <c r="AJ145">
        <v>-3.2823757806996999E-3</v>
      </c>
      <c r="AK145">
        <v>0</v>
      </c>
      <c r="AL145">
        <v>3.2823757806996999E-3</v>
      </c>
      <c r="AN145" t="s">
        <v>42</v>
      </c>
      <c r="AO145" t="s">
        <v>42</v>
      </c>
    </row>
    <row r="146" spans="1:43" x14ac:dyDescent="0.2">
      <c r="A146">
        <v>144</v>
      </c>
      <c r="B146">
        <v>101</v>
      </c>
      <c r="C146">
        <v>6</v>
      </c>
      <c r="F146" t="s">
        <v>29</v>
      </c>
      <c r="G146" t="s">
        <v>1053</v>
      </c>
      <c r="I146">
        <v>1.3937572623865148E-5</v>
      </c>
      <c r="J146">
        <v>6.7082245170631998</v>
      </c>
      <c r="K146">
        <v>6.7082245170631998</v>
      </c>
      <c r="L146" s="1"/>
      <c r="M146" s="1"/>
      <c r="N146" s="1">
        <v>43164</v>
      </c>
      <c r="R146">
        <v>-5.6906384243591525E-3</v>
      </c>
      <c r="S146">
        <v>-5.6906384243591525E-3</v>
      </c>
      <c r="T146" t="s">
        <v>32</v>
      </c>
      <c r="U146" t="s">
        <v>32</v>
      </c>
      <c r="AA146">
        <v>1.0182388182650878E-2</v>
      </c>
      <c r="AC146" t="s">
        <v>42</v>
      </c>
      <c r="AD146" t="s">
        <v>42</v>
      </c>
      <c r="AF146">
        <v>2.0299999999999998</v>
      </c>
      <c r="AG146">
        <v>2.0299999999999998</v>
      </c>
      <c r="AH146" t="s">
        <v>244</v>
      </c>
      <c r="AI146" t="s">
        <v>244</v>
      </c>
      <c r="AJ146">
        <v>-2.4492107184677999E-3</v>
      </c>
      <c r="AK146">
        <v>0</v>
      </c>
      <c r="AL146">
        <v>2.4492107184677999E-3</v>
      </c>
      <c r="AN146" t="s">
        <v>42</v>
      </c>
      <c r="AO146" t="s">
        <v>42</v>
      </c>
    </row>
    <row r="147" spans="1:43" x14ac:dyDescent="0.2">
      <c r="A147">
        <v>145</v>
      </c>
      <c r="B147">
        <v>107</v>
      </c>
      <c r="C147">
        <v>6</v>
      </c>
      <c r="D147">
        <v>280000000</v>
      </c>
      <c r="E147" t="s">
        <v>596</v>
      </c>
      <c r="F147" t="s">
        <v>29</v>
      </c>
      <c r="G147" t="s">
        <v>597</v>
      </c>
      <c r="H147">
        <v>1.3053944349159302E-2</v>
      </c>
      <c r="I147">
        <v>-9.4653251986113602E-7</v>
      </c>
      <c r="J147">
        <v>2.86</v>
      </c>
      <c r="L147" s="1">
        <v>44621</v>
      </c>
      <c r="M147" s="1">
        <v>43165</v>
      </c>
      <c r="N147" s="1"/>
      <c r="R147">
        <v>-2.0737663149124656E-4</v>
      </c>
      <c r="T147" t="s">
        <v>39</v>
      </c>
      <c r="V147">
        <v>284566817</v>
      </c>
      <c r="W147" t="s">
        <v>598</v>
      </c>
      <c r="X147" t="s">
        <v>599</v>
      </c>
      <c r="Y147">
        <v>280000000</v>
      </c>
      <c r="Z147" t="s">
        <v>31</v>
      </c>
      <c r="AA147">
        <v>-6.9150933271018913E-4</v>
      </c>
      <c r="AB147">
        <v>101.55</v>
      </c>
      <c r="AC147" t="s">
        <v>33</v>
      </c>
      <c r="AE147" t="s">
        <v>41</v>
      </c>
      <c r="AF147">
        <v>5.4199999999999998E-2</v>
      </c>
      <c r="AH147" t="s">
        <v>244</v>
      </c>
      <c r="AJ147">
        <v>4.564316205999756E-3</v>
      </c>
      <c r="AK147">
        <v>4.564316205999756E-3</v>
      </c>
      <c r="AL147">
        <v>0</v>
      </c>
      <c r="AN147" t="s">
        <v>144</v>
      </c>
      <c r="AQ147">
        <v>2.4738593836518675E-4</v>
      </c>
    </row>
    <row r="148" spans="1:43" x14ac:dyDescent="0.2">
      <c r="A148">
        <v>146</v>
      </c>
      <c r="B148">
        <v>92</v>
      </c>
      <c r="C148">
        <v>6</v>
      </c>
      <c r="F148" t="s">
        <v>29</v>
      </c>
      <c r="G148" t="s">
        <v>309</v>
      </c>
      <c r="I148">
        <v>7.6638475508540211E-6</v>
      </c>
      <c r="J148">
        <v>0.24109589041096</v>
      </c>
      <c r="K148">
        <v>0.24109589041096</v>
      </c>
      <c r="L148" s="1"/>
      <c r="M148" s="1"/>
      <c r="N148" s="1">
        <v>43164</v>
      </c>
      <c r="R148">
        <v>-2.293432873749072E-3</v>
      </c>
      <c r="S148">
        <v>-2.293432873749072E-3</v>
      </c>
      <c r="T148" t="s">
        <v>32</v>
      </c>
      <c r="U148" t="s">
        <v>32</v>
      </c>
      <c r="W148" t="s">
        <v>261</v>
      </c>
      <c r="Z148" t="s">
        <v>31</v>
      </c>
      <c r="AA148">
        <v>5.5989857661321333E-3</v>
      </c>
      <c r="AC148" t="s">
        <v>42</v>
      </c>
      <c r="AD148" t="s">
        <v>42</v>
      </c>
      <c r="AE148" t="s">
        <v>41</v>
      </c>
      <c r="AF148">
        <v>0.56999999999999995</v>
      </c>
      <c r="AG148">
        <v>0.56999999999999995</v>
      </c>
      <c r="AH148" t="s">
        <v>244</v>
      </c>
      <c r="AI148" t="s">
        <v>244</v>
      </c>
      <c r="AJ148">
        <v>-3.3416489484281E-3</v>
      </c>
      <c r="AK148">
        <v>0</v>
      </c>
      <c r="AL148">
        <v>3.3416489484281E-3</v>
      </c>
      <c r="AM148" t="s">
        <v>41</v>
      </c>
      <c r="AN148" t="s">
        <v>42</v>
      </c>
      <c r="AO148" t="s">
        <v>42</v>
      </c>
      <c r="AP148" t="s">
        <v>31</v>
      </c>
    </row>
    <row r="149" spans="1:43" x14ac:dyDescent="0.2">
      <c r="A149">
        <v>147</v>
      </c>
      <c r="B149">
        <v>95</v>
      </c>
      <c r="C149">
        <v>6</v>
      </c>
      <c r="F149" t="s">
        <v>29</v>
      </c>
      <c r="G149" t="s">
        <v>600</v>
      </c>
      <c r="I149">
        <v>9.5380559233993317E-6</v>
      </c>
      <c r="J149">
        <v>1.385325308601</v>
      </c>
      <c r="K149">
        <v>1.385325308601</v>
      </c>
      <c r="L149" s="1"/>
      <c r="M149" s="1"/>
      <c r="N149" s="1">
        <v>43164</v>
      </c>
      <c r="R149">
        <v>-2.8093124561633931E-3</v>
      </c>
      <c r="S149">
        <v>-2.8093124561633931E-3</v>
      </c>
      <c r="T149" t="s">
        <v>32</v>
      </c>
      <c r="U149" t="s">
        <v>32</v>
      </c>
      <c r="W149" t="s">
        <v>261</v>
      </c>
      <c r="Z149" t="s">
        <v>31</v>
      </c>
      <c r="AA149">
        <v>6.9682282949031426E-3</v>
      </c>
      <c r="AC149" t="s">
        <v>42</v>
      </c>
      <c r="AD149" t="s">
        <v>42</v>
      </c>
      <c r="AE149" t="s">
        <v>41</v>
      </c>
      <c r="AF149">
        <v>1.24</v>
      </c>
      <c r="AG149">
        <v>1.24</v>
      </c>
      <c r="AH149" t="s">
        <v>244</v>
      </c>
      <c r="AI149" t="s">
        <v>244</v>
      </c>
      <c r="AJ149">
        <v>-3.3951566699082E-3</v>
      </c>
      <c r="AK149">
        <v>0</v>
      </c>
      <c r="AL149">
        <v>3.3951566699082E-3</v>
      </c>
      <c r="AM149" t="s">
        <v>41</v>
      </c>
      <c r="AN149" t="s">
        <v>42</v>
      </c>
      <c r="AO149" t="s">
        <v>42</v>
      </c>
      <c r="AP149" t="s">
        <v>31</v>
      </c>
    </row>
    <row r="150" spans="1:43" x14ac:dyDescent="0.2">
      <c r="A150">
        <v>148</v>
      </c>
      <c r="B150">
        <v>98</v>
      </c>
      <c r="C150">
        <v>6</v>
      </c>
      <c r="F150" t="s">
        <v>29</v>
      </c>
      <c r="G150" t="s">
        <v>601</v>
      </c>
      <c r="I150">
        <v>1.6018975160740546E-5</v>
      </c>
      <c r="J150">
        <v>3.9618390875116001</v>
      </c>
      <c r="K150">
        <v>3.9618390875116001</v>
      </c>
      <c r="L150" s="1"/>
      <c r="M150" s="1"/>
      <c r="N150" s="1">
        <v>43164</v>
      </c>
      <c r="R150">
        <v>-4.4913223753632802E-3</v>
      </c>
      <c r="S150">
        <v>-4.4913223753632802E-3</v>
      </c>
      <c r="T150" t="s">
        <v>32</v>
      </c>
      <c r="U150" t="s">
        <v>32</v>
      </c>
      <c r="W150" t="s">
        <v>261</v>
      </c>
      <c r="Z150" t="s">
        <v>31</v>
      </c>
      <c r="AA150">
        <v>1.170300078620639E-2</v>
      </c>
      <c r="AC150" t="s">
        <v>42</v>
      </c>
      <c r="AD150" t="s">
        <v>42</v>
      </c>
      <c r="AE150" t="s">
        <v>41</v>
      </c>
      <c r="AF150">
        <v>1.68</v>
      </c>
      <c r="AG150">
        <v>1.68</v>
      </c>
      <c r="AH150" t="s">
        <v>244</v>
      </c>
      <c r="AI150" t="s">
        <v>244</v>
      </c>
      <c r="AJ150">
        <v>-3.5666500469017999E-3</v>
      </c>
      <c r="AK150">
        <v>0</v>
      </c>
      <c r="AL150">
        <v>3.5666500469017999E-3</v>
      </c>
      <c r="AM150" t="s">
        <v>41</v>
      </c>
      <c r="AN150" t="s">
        <v>42</v>
      </c>
      <c r="AO150" t="s">
        <v>42</v>
      </c>
      <c r="AP150" t="s">
        <v>31</v>
      </c>
    </row>
    <row r="151" spans="1:43" x14ac:dyDescent="0.2">
      <c r="A151">
        <v>149</v>
      </c>
      <c r="B151">
        <v>92</v>
      </c>
      <c r="C151">
        <v>6</v>
      </c>
      <c r="D151">
        <v>4000</v>
      </c>
      <c r="E151" t="s">
        <v>306</v>
      </c>
      <c r="F151" t="s">
        <v>29</v>
      </c>
      <c r="G151" t="s">
        <v>310</v>
      </c>
      <c r="H151">
        <v>9.9296083018144896E-4</v>
      </c>
      <c r="I151">
        <v>3.6836020684827322E-6</v>
      </c>
      <c r="J151">
        <v>0.56000000000000005</v>
      </c>
      <c r="K151">
        <v>0.56758684966359996</v>
      </c>
      <c r="L151" s="1">
        <v>43374</v>
      </c>
      <c r="M151" s="1">
        <v>43165</v>
      </c>
      <c r="N151" s="1">
        <v>43164</v>
      </c>
      <c r="R151">
        <v>-2.293432873749072E-3</v>
      </c>
      <c r="S151">
        <v>-2.293432873749072E-3</v>
      </c>
      <c r="T151" t="s">
        <v>32</v>
      </c>
      <c r="U151" t="s">
        <v>32</v>
      </c>
      <c r="V151">
        <v>110548441</v>
      </c>
      <c r="W151" t="s">
        <v>261</v>
      </c>
      <c r="X151" t="s">
        <v>308</v>
      </c>
      <c r="Y151">
        <v>4000</v>
      </c>
      <c r="Z151" t="s">
        <v>31</v>
      </c>
      <c r="AA151">
        <v>2.6911333260056063E-3</v>
      </c>
      <c r="AB151">
        <v>101.16</v>
      </c>
      <c r="AC151" s="8" t="s">
        <v>42</v>
      </c>
      <c r="AD151" t="s">
        <v>42</v>
      </c>
      <c r="AE151" t="s">
        <v>41</v>
      </c>
      <c r="AF151">
        <v>7.6014849139223281E-2</v>
      </c>
      <c r="AG151">
        <v>1.1000000000000001</v>
      </c>
      <c r="AH151" t="s">
        <v>244</v>
      </c>
      <c r="AI151" t="s">
        <v>244</v>
      </c>
      <c r="AJ151">
        <v>-1.6061521183574701E-3</v>
      </c>
      <c r="AK151">
        <v>1.77314433960973E-3</v>
      </c>
      <c r="AL151">
        <v>3.3792964579672001E-3</v>
      </c>
      <c r="AM151" t="s">
        <v>41</v>
      </c>
      <c r="AN151" t="s">
        <v>138</v>
      </c>
      <c r="AO151" t="s">
        <v>42</v>
      </c>
      <c r="AP151" t="s">
        <v>31</v>
      </c>
      <c r="AQ151">
        <v>1.3478529947750131E-4</v>
      </c>
    </row>
    <row r="152" spans="1:43" x14ac:dyDescent="0.2">
      <c r="A152">
        <v>150</v>
      </c>
      <c r="B152">
        <v>98</v>
      </c>
      <c r="C152">
        <v>6</v>
      </c>
      <c r="F152" t="s">
        <v>29</v>
      </c>
      <c r="G152" t="s">
        <v>602</v>
      </c>
      <c r="I152">
        <v>1.5694362046790079E-5</v>
      </c>
      <c r="J152">
        <v>3.3321364865465002</v>
      </c>
      <c r="K152">
        <v>3.3321364865465002</v>
      </c>
      <c r="L152" s="1"/>
      <c r="M152" s="1"/>
      <c r="N152" s="1">
        <v>43164</v>
      </c>
      <c r="R152">
        <v>-4.4913223753632802E-3</v>
      </c>
      <c r="S152">
        <v>-4.4913223753632802E-3</v>
      </c>
      <c r="T152" t="s">
        <v>32</v>
      </c>
      <c r="U152" t="s">
        <v>32</v>
      </c>
      <c r="W152" t="s">
        <v>261</v>
      </c>
      <c r="Z152" t="s">
        <v>31</v>
      </c>
      <c r="AA152">
        <v>1.1465847816702715E-2</v>
      </c>
      <c r="AC152" t="s">
        <v>42</v>
      </c>
      <c r="AD152" t="s">
        <v>42</v>
      </c>
      <c r="AE152" t="s">
        <v>41</v>
      </c>
      <c r="AF152">
        <v>1.59</v>
      </c>
      <c r="AG152">
        <v>1.59</v>
      </c>
      <c r="AH152" t="s">
        <v>244</v>
      </c>
      <c r="AI152" t="s">
        <v>244</v>
      </c>
      <c r="AJ152">
        <v>-3.4943744258662001E-3</v>
      </c>
      <c r="AK152">
        <v>0</v>
      </c>
      <c r="AL152">
        <v>3.4943744258662001E-3</v>
      </c>
      <c r="AM152" t="s">
        <v>41</v>
      </c>
      <c r="AN152" t="s">
        <v>42</v>
      </c>
      <c r="AO152" t="s">
        <v>42</v>
      </c>
      <c r="AP152" t="s">
        <v>31</v>
      </c>
    </row>
    <row r="153" spans="1:43" x14ac:dyDescent="0.2">
      <c r="A153">
        <v>151</v>
      </c>
      <c r="B153">
        <v>98</v>
      </c>
      <c r="C153">
        <v>6</v>
      </c>
      <c r="F153" t="s">
        <v>29</v>
      </c>
      <c r="G153" t="s">
        <v>603</v>
      </c>
      <c r="I153">
        <v>1.5882355609768955E-5</v>
      </c>
      <c r="J153">
        <v>3.5292652196185998</v>
      </c>
      <c r="K153">
        <v>3.5292652196185998</v>
      </c>
      <c r="L153" s="1"/>
      <c r="M153" s="1"/>
      <c r="N153" s="1">
        <v>43164</v>
      </c>
      <c r="R153">
        <v>-4.4913223753632802E-3</v>
      </c>
      <c r="S153">
        <v>-4.4913223753632802E-3</v>
      </c>
      <c r="T153" t="s">
        <v>32</v>
      </c>
      <c r="U153" t="s">
        <v>32</v>
      </c>
      <c r="W153" t="s">
        <v>261</v>
      </c>
      <c r="Z153" t="s">
        <v>31</v>
      </c>
      <c r="AA153">
        <v>1.1603190486459488E-2</v>
      </c>
      <c r="AC153" t="s">
        <v>42</v>
      </c>
      <c r="AD153" t="s">
        <v>42</v>
      </c>
      <c r="AE153" t="s">
        <v>41</v>
      </c>
      <c r="AF153">
        <v>1.6</v>
      </c>
      <c r="AG153">
        <v>1.6</v>
      </c>
      <c r="AH153" t="s">
        <v>244</v>
      </c>
      <c r="AI153" t="s">
        <v>244</v>
      </c>
      <c r="AJ153">
        <v>-3.5362314887236999E-3</v>
      </c>
      <c r="AK153">
        <v>0</v>
      </c>
      <c r="AL153">
        <v>3.5362314887236999E-3</v>
      </c>
      <c r="AM153" t="s">
        <v>41</v>
      </c>
      <c r="AN153" t="s">
        <v>42</v>
      </c>
      <c r="AO153" t="s">
        <v>42</v>
      </c>
      <c r="AP153" t="s">
        <v>31</v>
      </c>
    </row>
    <row r="154" spans="1:43" x14ac:dyDescent="0.2">
      <c r="A154">
        <v>152</v>
      </c>
      <c r="B154">
        <v>98</v>
      </c>
      <c r="C154">
        <v>6</v>
      </c>
      <c r="F154" t="s">
        <v>29</v>
      </c>
      <c r="G154" t="s">
        <v>604</v>
      </c>
      <c r="I154">
        <v>1.6131798860190552E-5</v>
      </c>
      <c r="J154">
        <v>4.2375560863382997</v>
      </c>
      <c r="K154">
        <v>4.2375560863382997</v>
      </c>
      <c r="L154" s="1"/>
      <c r="M154" s="1"/>
      <c r="N154" s="1">
        <v>43164</v>
      </c>
      <c r="R154">
        <v>-4.4913223753632802E-3</v>
      </c>
      <c r="S154">
        <v>-4.4913223753632802E-3</v>
      </c>
      <c r="T154" t="s">
        <v>32</v>
      </c>
      <c r="U154" t="s">
        <v>32</v>
      </c>
      <c r="W154" t="s">
        <v>261</v>
      </c>
      <c r="Z154" t="s">
        <v>31</v>
      </c>
      <c r="AA154">
        <v>1.1785426523815505E-2</v>
      </c>
      <c r="AC154" t="s">
        <v>42</v>
      </c>
      <c r="AD154" t="s">
        <v>42</v>
      </c>
      <c r="AE154" t="s">
        <v>41</v>
      </c>
      <c r="AF154">
        <v>1.67</v>
      </c>
      <c r="AG154">
        <v>1.67</v>
      </c>
      <c r="AH154" t="s">
        <v>244</v>
      </c>
      <c r="AI154" t="s">
        <v>244</v>
      </c>
      <c r="AJ154">
        <v>-3.5917704212639003E-3</v>
      </c>
      <c r="AK154">
        <v>0</v>
      </c>
      <c r="AL154">
        <v>3.5917704212639003E-3</v>
      </c>
      <c r="AM154" t="s">
        <v>41</v>
      </c>
      <c r="AN154" t="s">
        <v>42</v>
      </c>
      <c r="AO154" t="s">
        <v>42</v>
      </c>
      <c r="AP154" t="s">
        <v>31</v>
      </c>
    </row>
    <row r="155" spans="1:43" x14ac:dyDescent="0.2">
      <c r="A155">
        <v>153</v>
      </c>
      <c r="B155">
        <v>101</v>
      </c>
      <c r="C155">
        <v>6</v>
      </c>
      <c r="F155" t="s">
        <v>29</v>
      </c>
      <c r="G155" t="s">
        <v>605</v>
      </c>
      <c r="I155">
        <v>2.0602938280406028E-5</v>
      </c>
      <c r="J155">
        <v>5.0865378645438</v>
      </c>
      <c r="K155">
        <v>5.0865378645438</v>
      </c>
      <c r="L155" s="1"/>
      <c r="M155" s="1"/>
      <c r="N155" s="1">
        <v>43164</v>
      </c>
      <c r="R155">
        <v>-5.6906384243591525E-3</v>
      </c>
      <c r="S155">
        <v>-5.6906384243591525E-3</v>
      </c>
      <c r="T155" t="s">
        <v>32</v>
      </c>
      <c r="U155" t="s">
        <v>32</v>
      </c>
      <c r="W155" t="s">
        <v>261</v>
      </c>
      <c r="Z155" t="s">
        <v>31</v>
      </c>
      <c r="AA155">
        <v>1.5051911902871496E-2</v>
      </c>
      <c r="AC155" t="s">
        <v>42</v>
      </c>
      <c r="AD155" t="s">
        <v>42</v>
      </c>
      <c r="AE155" t="s">
        <v>41</v>
      </c>
      <c r="AF155">
        <v>1.79</v>
      </c>
      <c r="AG155">
        <v>1.79</v>
      </c>
      <c r="AH155" t="s">
        <v>244</v>
      </c>
      <c r="AI155" t="s">
        <v>244</v>
      </c>
      <c r="AJ155">
        <v>-3.6204968131895001E-3</v>
      </c>
      <c r="AK155">
        <v>0</v>
      </c>
      <c r="AL155">
        <v>3.6204968131895001E-3</v>
      </c>
      <c r="AM155" t="s">
        <v>41</v>
      </c>
      <c r="AN155" t="s">
        <v>42</v>
      </c>
      <c r="AO155" t="s">
        <v>42</v>
      </c>
      <c r="AP155" t="s">
        <v>31</v>
      </c>
    </row>
    <row r="156" spans="1:43" x14ac:dyDescent="0.2">
      <c r="A156">
        <v>154</v>
      </c>
      <c r="B156">
        <v>98</v>
      </c>
      <c r="C156">
        <v>6</v>
      </c>
      <c r="D156">
        <v>9000</v>
      </c>
      <c r="E156" t="s">
        <v>306</v>
      </c>
      <c r="F156" t="s">
        <v>29</v>
      </c>
      <c r="G156" t="s">
        <v>606</v>
      </c>
      <c r="H156">
        <v>1.9207758152606329E-2</v>
      </c>
      <c r="I156">
        <v>-6.8714028151252877E-6</v>
      </c>
      <c r="J156">
        <v>4.57</v>
      </c>
      <c r="K156">
        <v>4.5739478296950002</v>
      </c>
      <c r="L156" s="1">
        <v>44958</v>
      </c>
      <c r="M156" s="1">
        <v>43165</v>
      </c>
      <c r="N156" s="1">
        <v>43164</v>
      </c>
      <c r="R156">
        <v>-4.4913223753632802E-3</v>
      </c>
      <c r="S156">
        <v>-4.4913223753632802E-3</v>
      </c>
      <c r="T156" t="s">
        <v>32</v>
      </c>
      <c r="U156" t="s">
        <v>32</v>
      </c>
      <c r="V156">
        <v>262040857</v>
      </c>
      <c r="W156" t="s">
        <v>261</v>
      </c>
      <c r="X156" t="s">
        <v>308</v>
      </c>
      <c r="Y156">
        <v>9000</v>
      </c>
      <c r="Z156" t="s">
        <v>31</v>
      </c>
      <c r="AA156">
        <v>-5.0200485200099692E-3</v>
      </c>
      <c r="AB156">
        <v>107.7</v>
      </c>
      <c r="AC156" s="8" t="s">
        <v>42</v>
      </c>
      <c r="AD156" t="s">
        <v>42</v>
      </c>
      <c r="AE156" t="s">
        <v>41</v>
      </c>
      <c r="AF156">
        <v>8.2314849139223281E-2</v>
      </c>
      <c r="AG156">
        <v>1.71</v>
      </c>
      <c r="AH156" t="s">
        <v>244</v>
      </c>
      <c r="AI156" t="s">
        <v>244</v>
      </c>
      <c r="AJ156">
        <v>1.529928658164845E-3</v>
      </c>
      <c r="AK156">
        <v>4.2030105366753449E-3</v>
      </c>
      <c r="AL156">
        <v>2.6730818785104999E-3</v>
      </c>
      <c r="AM156" t="s">
        <v>41</v>
      </c>
      <c r="AN156" t="s">
        <v>138</v>
      </c>
      <c r="AO156" t="s">
        <v>42</v>
      </c>
      <c r="AP156" t="s">
        <v>31</v>
      </c>
      <c r="AQ156">
        <v>3.4597017825699691E-4</v>
      </c>
    </row>
    <row r="157" spans="1:43" x14ac:dyDescent="0.2">
      <c r="A157">
        <v>155</v>
      </c>
      <c r="B157">
        <v>98</v>
      </c>
      <c r="C157">
        <v>6</v>
      </c>
      <c r="F157" t="s">
        <v>29</v>
      </c>
      <c r="G157" t="s">
        <v>607</v>
      </c>
      <c r="I157">
        <v>1.2079972773762212E-5</v>
      </c>
      <c r="J157">
        <v>4.9132748750627</v>
      </c>
      <c r="K157">
        <v>4.9132748750627</v>
      </c>
      <c r="L157" s="1"/>
      <c r="M157" s="1"/>
      <c r="N157" s="1">
        <v>43164</v>
      </c>
      <c r="R157">
        <v>-4.4913223753632802E-3</v>
      </c>
      <c r="S157">
        <v>-4.4913223753632802E-3</v>
      </c>
      <c r="T157" t="s">
        <v>32</v>
      </c>
      <c r="U157" t="s">
        <v>32</v>
      </c>
      <c r="AA157">
        <v>8.825279360889865E-3</v>
      </c>
      <c r="AC157" s="8" t="s">
        <v>42</v>
      </c>
      <c r="AD157" t="s">
        <v>42</v>
      </c>
      <c r="AF157">
        <v>1.76</v>
      </c>
      <c r="AG157">
        <v>1.76</v>
      </c>
      <c r="AH157" t="s">
        <v>244</v>
      </c>
      <c r="AI157" t="s">
        <v>244</v>
      </c>
      <c r="AJ157">
        <v>-2.6896249621327002E-3</v>
      </c>
      <c r="AK157">
        <v>0</v>
      </c>
      <c r="AL157">
        <v>2.6896249621327002E-3</v>
      </c>
      <c r="AN157" t="s">
        <v>42</v>
      </c>
      <c r="AO157" t="s">
        <v>42</v>
      </c>
    </row>
    <row r="158" spans="1:43" x14ac:dyDescent="0.2">
      <c r="A158">
        <v>156</v>
      </c>
      <c r="B158">
        <v>101</v>
      </c>
      <c r="C158">
        <v>6</v>
      </c>
      <c r="D158">
        <v>22000</v>
      </c>
      <c r="E158" t="s">
        <v>306</v>
      </c>
      <c r="F158" t="s">
        <v>29</v>
      </c>
      <c r="G158" t="s">
        <v>608</v>
      </c>
      <c r="H158">
        <v>5.6067834124145892E-2</v>
      </c>
      <c r="I158">
        <v>-4.3554456383943119E-5</v>
      </c>
      <c r="J158">
        <v>5.42</v>
      </c>
      <c r="K158">
        <v>5.4222923951536997</v>
      </c>
      <c r="L158" s="1">
        <v>45323</v>
      </c>
      <c r="M158" s="1">
        <v>43165</v>
      </c>
      <c r="N158" s="1">
        <v>43164</v>
      </c>
      <c r="R158">
        <v>-5.6906384243591525E-3</v>
      </c>
      <c r="S158">
        <v>-5.6906384243591525E-3</v>
      </c>
      <c r="T158" t="s">
        <v>32</v>
      </c>
      <c r="U158" t="s">
        <v>32</v>
      </c>
      <c r="V158">
        <v>644945513</v>
      </c>
      <c r="W158" t="s">
        <v>261</v>
      </c>
      <c r="X158" t="s">
        <v>308</v>
      </c>
      <c r="Y158">
        <v>22000</v>
      </c>
      <c r="Z158" t="s">
        <v>31</v>
      </c>
      <c r="AA158">
        <v>-3.1819628421255026E-2</v>
      </c>
      <c r="AB158">
        <v>108.44</v>
      </c>
      <c r="AC158" t="s">
        <v>42</v>
      </c>
      <c r="AD158" t="s">
        <v>42</v>
      </c>
      <c r="AE158" t="s">
        <v>41</v>
      </c>
      <c r="AF158">
        <v>8.3614849139223291E-2</v>
      </c>
      <c r="AG158">
        <v>1.85</v>
      </c>
      <c r="AH158" t="s">
        <v>244</v>
      </c>
      <c r="AI158" t="s">
        <v>244</v>
      </c>
      <c r="AJ158">
        <v>7.6537030006168377E-3</v>
      </c>
      <c r="AK158">
        <v>1.0344618842093338E-2</v>
      </c>
      <c r="AL158">
        <v>2.6909158414764999E-3</v>
      </c>
      <c r="AM158" t="s">
        <v>41</v>
      </c>
      <c r="AN158" t="s">
        <v>138</v>
      </c>
      <c r="AO158" t="s">
        <v>42</v>
      </c>
      <c r="AP158" t="s">
        <v>31</v>
      </c>
      <c r="AQ158">
        <v>8.6496374388440119E-4</v>
      </c>
    </row>
    <row r="159" spans="1:43" x14ac:dyDescent="0.2">
      <c r="A159">
        <v>157</v>
      </c>
      <c r="B159">
        <v>101</v>
      </c>
      <c r="C159">
        <v>6</v>
      </c>
      <c r="F159" t="s">
        <v>29</v>
      </c>
      <c r="G159" t="s">
        <v>609</v>
      </c>
      <c r="I159">
        <v>2.081272420995815E-5</v>
      </c>
      <c r="J159">
        <v>5.8961567133654</v>
      </c>
      <c r="K159">
        <v>5.8961567133654</v>
      </c>
      <c r="L159" s="1"/>
      <c r="M159" s="1"/>
      <c r="N159" s="1">
        <v>43164</v>
      </c>
      <c r="R159">
        <v>-5.6906384243591525E-3</v>
      </c>
      <c r="S159">
        <v>-5.6906384243591525E-3</v>
      </c>
      <c r="T159" t="s">
        <v>32</v>
      </c>
      <c r="U159" t="s">
        <v>32</v>
      </c>
      <c r="W159" t="s">
        <v>261</v>
      </c>
      <c r="Z159" t="s">
        <v>31</v>
      </c>
      <c r="AA159">
        <v>1.5205175446503211E-2</v>
      </c>
      <c r="AC159" t="s">
        <v>42</v>
      </c>
      <c r="AD159" t="s">
        <v>42</v>
      </c>
      <c r="AE159" t="s">
        <v>41</v>
      </c>
      <c r="AF159">
        <v>1.93</v>
      </c>
      <c r="AG159">
        <v>1.93</v>
      </c>
      <c r="AH159" t="s">
        <v>244</v>
      </c>
      <c r="AI159" t="s">
        <v>244</v>
      </c>
      <c r="AJ159">
        <v>-3.6573619087918001E-3</v>
      </c>
      <c r="AK159">
        <v>0</v>
      </c>
      <c r="AL159">
        <v>3.6573619087918001E-3</v>
      </c>
      <c r="AM159" t="s">
        <v>41</v>
      </c>
      <c r="AN159" t="s">
        <v>42</v>
      </c>
      <c r="AO159" t="s">
        <v>42</v>
      </c>
      <c r="AP159" t="s">
        <v>31</v>
      </c>
    </row>
    <row r="160" spans="1:43" x14ac:dyDescent="0.2">
      <c r="A160">
        <v>158</v>
      </c>
      <c r="B160">
        <v>101</v>
      </c>
      <c r="C160">
        <v>6</v>
      </c>
      <c r="F160" t="s">
        <v>29</v>
      </c>
      <c r="G160" t="s">
        <v>610</v>
      </c>
      <c r="I160">
        <v>1.5480534277674495E-5</v>
      </c>
      <c r="J160">
        <v>6.2320643724001004</v>
      </c>
      <c r="K160">
        <v>6.2320643724001004</v>
      </c>
      <c r="L160" s="1"/>
      <c r="M160" s="1"/>
      <c r="N160" s="1">
        <v>43164</v>
      </c>
      <c r="R160">
        <v>-5.6906384243591525E-3</v>
      </c>
      <c r="S160">
        <v>-5.6906384243591525E-3</v>
      </c>
      <c r="T160" t="s">
        <v>32</v>
      </c>
      <c r="U160" t="s">
        <v>32</v>
      </c>
      <c r="W160" t="s">
        <v>261</v>
      </c>
      <c r="Z160" t="s">
        <v>31</v>
      </c>
      <c r="AA160">
        <v>1.1309631421773443E-2</v>
      </c>
      <c r="AC160" s="8" t="s">
        <v>42</v>
      </c>
      <c r="AD160" t="s">
        <v>42</v>
      </c>
      <c r="AE160" t="s">
        <v>41</v>
      </c>
      <c r="AF160">
        <v>1.96</v>
      </c>
      <c r="AG160">
        <v>1.96</v>
      </c>
      <c r="AH160" t="s">
        <v>244</v>
      </c>
      <c r="AI160" t="s">
        <v>244</v>
      </c>
      <c r="AJ160">
        <v>-2.7203510613868997E-3</v>
      </c>
      <c r="AK160">
        <v>0</v>
      </c>
      <c r="AL160">
        <v>2.7203510613868997E-3</v>
      </c>
      <c r="AM160" t="s">
        <v>41</v>
      </c>
      <c r="AN160" t="s">
        <v>42</v>
      </c>
      <c r="AO160" t="s">
        <v>42</v>
      </c>
      <c r="AP160" t="s">
        <v>31</v>
      </c>
    </row>
    <row r="161" spans="1:43" x14ac:dyDescent="0.2">
      <c r="A161">
        <v>159</v>
      </c>
      <c r="B161">
        <v>101</v>
      </c>
      <c r="C161">
        <v>6</v>
      </c>
      <c r="F161" t="s">
        <v>29</v>
      </c>
      <c r="G161" t="s">
        <v>611</v>
      </c>
      <c r="I161">
        <v>1.5575447106090309E-5</v>
      </c>
      <c r="J161">
        <v>6.4616963263171003</v>
      </c>
      <c r="K161">
        <v>6.4616963263171003</v>
      </c>
      <c r="L161" s="1"/>
      <c r="M161" s="1"/>
      <c r="N161" s="1">
        <v>43164</v>
      </c>
      <c r="R161">
        <v>-5.6906384243591525E-3</v>
      </c>
      <c r="S161">
        <v>-5.6906384243591525E-3</v>
      </c>
      <c r="T161" t="s">
        <v>32</v>
      </c>
      <c r="U161" t="s">
        <v>32</v>
      </c>
      <c r="W161" t="s">
        <v>261</v>
      </c>
      <c r="Z161" t="s">
        <v>31</v>
      </c>
      <c r="AA161">
        <v>1.1378971994090057E-2</v>
      </c>
      <c r="AC161" t="s">
        <v>42</v>
      </c>
      <c r="AD161" t="s">
        <v>42</v>
      </c>
      <c r="AE161" t="s">
        <v>41</v>
      </c>
      <c r="AF161">
        <v>2.0099999999999998</v>
      </c>
      <c r="AG161">
        <v>2.0099999999999998</v>
      </c>
      <c r="AH161" t="s">
        <v>244</v>
      </c>
      <c r="AI161" t="s">
        <v>244</v>
      </c>
      <c r="AJ161">
        <v>-2.7370298276936001E-3</v>
      </c>
      <c r="AK161">
        <v>0</v>
      </c>
      <c r="AL161">
        <v>2.7370298276936001E-3</v>
      </c>
      <c r="AM161" t="s">
        <v>41</v>
      </c>
      <c r="AN161" t="s">
        <v>42</v>
      </c>
      <c r="AO161" t="s">
        <v>42</v>
      </c>
      <c r="AP161" t="s">
        <v>31</v>
      </c>
    </row>
    <row r="162" spans="1:43" x14ac:dyDescent="0.2">
      <c r="A162">
        <v>160</v>
      </c>
      <c r="B162">
        <v>101</v>
      </c>
      <c r="C162">
        <v>6</v>
      </c>
      <c r="F162" t="s">
        <v>29</v>
      </c>
      <c r="G162" t="s">
        <v>612</v>
      </c>
      <c r="I162">
        <v>2.0886895616932427E-5</v>
      </c>
      <c r="J162">
        <v>6.6896319948106999</v>
      </c>
      <c r="K162">
        <v>6.6896319948106999</v>
      </c>
      <c r="L162" s="1"/>
      <c r="M162" s="1"/>
      <c r="N162" s="1">
        <v>43164</v>
      </c>
      <c r="R162">
        <v>-5.6906384243591525E-3</v>
      </c>
      <c r="S162">
        <v>-5.6906384243591525E-3</v>
      </c>
      <c r="T162" t="s">
        <v>32</v>
      </c>
      <c r="U162" t="s">
        <v>32</v>
      </c>
      <c r="W162" t="s">
        <v>261</v>
      </c>
      <c r="Z162" t="s">
        <v>31</v>
      </c>
      <c r="AA162">
        <v>1.5259362935117425E-2</v>
      </c>
      <c r="AC162" t="s">
        <v>42</v>
      </c>
      <c r="AD162" t="s">
        <v>42</v>
      </c>
      <c r="AE162" t="s">
        <v>41</v>
      </c>
      <c r="AF162">
        <v>2.06</v>
      </c>
      <c r="AG162">
        <v>2.06</v>
      </c>
      <c r="AH162" t="s">
        <v>244</v>
      </c>
      <c r="AI162" t="s">
        <v>244</v>
      </c>
      <c r="AJ162">
        <v>-3.6703958430260998E-3</v>
      </c>
      <c r="AK162">
        <v>0</v>
      </c>
      <c r="AL162">
        <v>3.6703958430260998E-3</v>
      </c>
      <c r="AM162" t="s">
        <v>41</v>
      </c>
      <c r="AN162" t="s">
        <v>42</v>
      </c>
      <c r="AO162" t="s">
        <v>42</v>
      </c>
      <c r="AP162" t="s">
        <v>31</v>
      </c>
    </row>
    <row r="163" spans="1:43" x14ac:dyDescent="0.2">
      <c r="A163">
        <v>161</v>
      </c>
      <c r="B163">
        <v>93</v>
      </c>
      <c r="C163">
        <v>6</v>
      </c>
      <c r="D163">
        <v>4000</v>
      </c>
      <c r="E163" t="s">
        <v>329</v>
      </c>
      <c r="F163" t="s">
        <v>29</v>
      </c>
      <c r="G163" t="s">
        <v>330</v>
      </c>
      <c r="H163">
        <v>4.7400874003956716E-4</v>
      </c>
      <c r="I163">
        <v>-1.0974209734671101E-6</v>
      </c>
      <c r="J163">
        <v>0.27</v>
      </c>
      <c r="K163">
        <v>0.27945205479452001</v>
      </c>
      <c r="L163" s="1">
        <v>43266</v>
      </c>
      <c r="M163" s="1">
        <v>43165</v>
      </c>
      <c r="N163" s="1">
        <v>43164</v>
      </c>
      <c r="R163">
        <v>-2.1922679503766566E-3</v>
      </c>
      <c r="S163">
        <v>-2.1922679503766566E-3</v>
      </c>
      <c r="T163" t="s">
        <v>32</v>
      </c>
      <c r="U163" t="s">
        <v>32</v>
      </c>
      <c r="V163">
        <v>109453869</v>
      </c>
      <c r="W163" t="s">
        <v>209</v>
      </c>
      <c r="X163" t="s">
        <v>331</v>
      </c>
      <c r="Y163">
        <v>4000</v>
      </c>
      <c r="Z163" t="s">
        <v>31</v>
      </c>
      <c r="AA163">
        <v>-8.0174408077996189E-4</v>
      </c>
      <c r="AB163">
        <v>100.7</v>
      </c>
      <c r="AC163" t="s">
        <v>34</v>
      </c>
      <c r="AD163" t="s">
        <v>34</v>
      </c>
      <c r="AE163" t="s">
        <v>41</v>
      </c>
      <c r="AF163">
        <v>7.6114849139223284E-2</v>
      </c>
      <c r="AG163">
        <v>1.01</v>
      </c>
      <c r="AH163" t="s">
        <v>244</v>
      </c>
      <c r="AI163" t="s">
        <v>244</v>
      </c>
      <c r="AJ163">
        <v>5.0058706248867096E-4</v>
      </c>
      <c r="AK163">
        <v>1.755587926072471E-3</v>
      </c>
      <c r="AL163">
        <v>1.2550008635838E-3</v>
      </c>
      <c r="AM163" t="s">
        <v>41</v>
      </c>
      <c r="AN163" t="s">
        <v>50</v>
      </c>
      <c r="AO163" t="s">
        <v>34</v>
      </c>
      <c r="AP163" t="s">
        <v>31</v>
      </c>
      <c r="AQ163">
        <v>1.3362631014364801E-4</v>
      </c>
    </row>
    <row r="164" spans="1:43" x14ac:dyDescent="0.2">
      <c r="A164">
        <v>162</v>
      </c>
      <c r="B164">
        <v>96</v>
      </c>
      <c r="C164">
        <v>6</v>
      </c>
      <c r="D164">
        <v>10500</v>
      </c>
      <c r="E164" t="s">
        <v>329</v>
      </c>
      <c r="F164" t="s">
        <v>29</v>
      </c>
      <c r="G164" t="s">
        <v>373</v>
      </c>
      <c r="H164">
        <v>4.9073285298803131E-3</v>
      </c>
      <c r="I164">
        <v>-8.2692763493671247E-6</v>
      </c>
      <c r="J164">
        <v>1.05</v>
      </c>
      <c r="K164">
        <v>1.0523762166149</v>
      </c>
      <c r="L164" s="1">
        <v>43556</v>
      </c>
      <c r="M164" s="1">
        <v>43165</v>
      </c>
      <c r="N164" s="1">
        <v>43164</v>
      </c>
      <c r="R164">
        <v>-2.4313878536657216E-3</v>
      </c>
      <c r="S164">
        <v>-2.4313878536657216E-3</v>
      </c>
      <c r="T164" t="s">
        <v>32</v>
      </c>
      <c r="U164" t="s">
        <v>32</v>
      </c>
      <c r="V164">
        <v>291383105</v>
      </c>
      <c r="W164" t="s">
        <v>209</v>
      </c>
      <c r="X164" t="s">
        <v>331</v>
      </c>
      <c r="Y164">
        <v>10500</v>
      </c>
      <c r="Z164" t="s">
        <v>31</v>
      </c>
      <c r="AA164">
        <v>-6.0412945676561938E-3</v>
      </c>
      <c r="AB164">
        <v>101.67</v>
      </c>
      <c r="AC164" t="s">
        <v>34</v>
      </c>
      <c r="AD164" t="s">
        <v>34</v>
      </c>
      <c r="AE164" t="s">
        <v>41</v>
      </c>
      <c r="AF164">
        <v>7.8914849139223281E-2</v>
      </c>
      <c r="AG164">
        <v>1.37</v>
      </c>
      <c r="AH164" t="s">
        <v>244</v>
      </c>
      <c r="AI164" t="s">
        <v>244</v>
      </c>
      <c r="AJ164">
        <v>3.4010519287985316E-3</v>
      </c>
      <c r="AK164">
        <v>4.6736462189336317E-3</v>
      </c>
      <c r="AL164">
        <v>1.2725942901350999E-3</v>
      </c>
      <c r="AM164" t="s">
        <v>41</v>
      </c>
      <c r="AN164" t="s">
        <v>50</v>
      </c>
      <c r="AO164" t="s">
        <v>34</v>
      </c>
      <c r="AP164" t="s">
        <v>31</v>
      </c>
      <c r="AQ164">
        <v>3.6882008629724887E-4</v>
      </c>
    </row>
    <row r="165" spans="1:43" x14ac:dyDescent="0.2">
      <c r="A165">
        <v>163</v>
      </c>
      <c r="B165">
        <v>93</v>
      </c>
      <c r="C165">
        <v>6</v>
      </c>
      <c r="D165">
        <v>10000</v>
      </c>
      <c r="E165" t="s">
        <v>329</v>
      </c>
      <c r="F165" t="s">
        <v>29</v>
      </c>
      <c r="G165" t="s">
        <v>613</v>
      </c>
      <c r="H165">
        <v>6.5455142038563685E-4</v>
      </c>
      <c r="I165">
        <v>-6.8315430198048618E-6</v>
      </c>
      <c r="J165">
        <v>0.15</v>
      </c>
      <c r="K165">
        <v>0.15616438356164</v>
      </c>
      <c r="L165" s="1">
        <v>43221</v>
      </c>
      <c r="M165" s="1">
        <v>43165</v>
      </c>
      <c r="N165" s="1">
        <v>43164</v>
      </c>
      <c r="R165">
        <v>-2.1922679503766566E-3</v>
      </c>
      <c r="S165">
        <v>-2.1922679503766566E-3</v>
      </c>
      <c r="T165" t="s">
        <v>32</v>
      </c>
      <c r="U165" t="s">
        <v>32</v>
      </c>
      <c r="V165">
        <v>272057713</v>
      </c>
      <c r="W165" t="s">
        <v>209</v>
      </c>
      <c r="X165" t="s">
        <v>331</v>
      </c>
      <c r="Y165">
        <v>10000</v>
      </c>
      <c r="Z165" t="s">
        <v>31</v>
      </c>
      <c r="AA165">
        <v>-4.9909281042972197E-3</v>
      </c>
      <c r="AB165">
        <v>100.19</v>
      </c>
      <c r="AC165" t="s">
        <v>34</v>
      </c>
      <c r="AD165" t="s">
        <v>34</v>
      </c>
      <c r="AE165" t="s">
        <v>41</v>
      </c>
      <c r="AF165">
        <v>7.501484913922328E-2</v>
      </c>
      <c r="AG165">
        <v>0.86</v>
      </c>
      <c r="AH165" t="s">
        <v>244</v>
      </c>
      <c r="AI165" t="s">
        <v>244</v>
      </c>
      <c r="AJ165">
        <v>3.1161989202237459E-3</v>
      </c>
      <c r="AK165">
        <v>4.3636761359042457E-3</v>
      </c>
      <c r="AL165">
        <v>1.2474772156805E-3</v>
      </c>
      <c r="AM165" t="s">
        <v>41</v>
      </c>
      <c r="AN165" t="s">
        <v>50</v>
      </c>
      <c r="AO165" t="s">
        <v>34</v>
      </c>
      <c r="AP165" t="s">
        <v>31</v>
      </c>
      <c r="AQ165">
        <v>3.2734050702728579E-4</v>
      </c>
    </row>
    <row r="166" spans="1:43" x14ac:dyDescent="0.2">
      <c r="A166">
        <v>164</v>
      </c>
      <c r="B166">
        <v>107</v>
      </c>
      <c r="C166">
        <v>6</v>
      </c>
      <c r="D166">
        <v>130000000</v>
      </c>
      <c r="E166" t="s">
        <v>329</v>
      </c>
      <c r="F166" t="s">
        <v>29</v>
      </c>
      <c r="G166" t="s">
        <v>422</v>
      </c>
      <c r="H166">
        <v>4.4513909165054509E-3</v>
      </c>
      <c r="I166">
        <v>-2.0984137736958559E-7</v>
      </c>
      <c r="J166">
        <v>2.02</v>
      </c>
      <c r="K166">
        <v>2.0247558301101001</v>
      </c>
      <c r="L166" s="1">
        <v>43952</v>
      </c>
      <c r="M166" s="1">
        <v>43165</v>
      </c>
      <c r="N166" s="1">
        <v>43164</v>
      </c>
      <c r="R166">
        <v>-2.0737663149124656E-4</v>
      </c>
      <c r="S166">
        <v>-2.0737663149124656E-4</v>
      </c>
      <c r="T166" t="s">
        <v>39</v>
      </c>
      <c r="U166" t="s">
        <v>39</v>
      </c>
      <c r="V166">
        <v>137389296</v>
      </c>
      <c r="W166" t="s">
        <v>209</v>
      </c>
      <c r="X166" t="s">
        <v>331</v>
      </c>
      <c r="Y166">
        <v>130000000</v>
      </c>
      <c r="Z166" t="s">
        <v>31</v>
      </c>
      <c r="AA166">
        <v>-1.5330405220638117E-4</v>
      </c>
      <c r="AB166">
        <v>103.63</v>
      </c>
      <c r="AC166" t="s">
        <v>34</v>
      </c>
      <c r="AD166" t="s">
        <v>34</v>
      </c>
      <c r="AE166" t="s">
        <v>41</v>
      </c>
      <c r="AF166">
        <v>4.0500000000000001E-2</v>
      </c>
      <c r="AG166">
        <v>4.0599999999999996</v>
      </c>
      <c r="AH166" t="s">
        <v>244</v>
      </c>
      <c r="AI166" t="s">
        <v>244</v>
      </c>
      <c r="AJ166">
        <v>1.0118853597949539E-3</v>
      </c>
      <c r="AK166">
        <v>2.203658869557154E-3</v>
      </c>
      <c r="AL166">
        <v>1.1917735097622E-3</v>
      </c>
      <c r="AM166" t="s">
        <v>41</v>
      </c>
      <c r="AN166" t="s">
        <v>50</v>
      </c>
      <c r="AO166" t="s">
        <v>34</v>
      </c>
      <c r="AP166" t="s">
        <v>31</v>
      </c>
      <c r="AQ166">
        <v>8.9248184217064736E-5</v>
      </c>
    </row>
    <row r="167" spans="1:43" x14ac:dyDescent="0.2">
      <c r="A167">
        <v>165</v>
      </c>
      <c r="B167">
        <v>96</v>
      </c>
      <c r="C167">
        <v>6</v>
      </c>
      <c r="D167">
        <v>17500</v>
      </c>
      <c r="E167" t="s">
        <v>329</v>
      </c>
      <c r="F167" t="s">
        <v>29</v>
      </c>
      <c r="G167" t="s">
        <v>614</v>
      </c>
      <c r="H167">
        <v>1.875544693310946E-2</v>
      </c>
      <c r="I167">
        <v>-1.2633278992783012E-5</v>
      </c>
      <c r="J167">
        <v>2.4300000000000002</v>
      </c>
      <c r="K167">
        <v>2.4404771141544002</v>
      </c>
      <c r="L167" s="1">
        <v>44075</v>
      </c>
      <c r="M167" s="1">
        <v>43165</v>
      </c>
      <c r="N167" s="1">
        <v>43164</v>
      </c>
      <c r="R167">
        <v>-2.4313878536657216E-3</v>
      </c>
      <c r="S167">
        <v>-2.4313878536657216E-3</v>
      </c>
      <c r="T167" t="s">
        <v>32</v>
      </c>
      <c r="U167" t="s">
        <v>32</v>
      </c>
      <c r="V167">
        <v>481204496</v>
      </c>
      <c r="W167" t="s">
        <v>209</v>
      </c>
      <c r="X167" t="s">
        <v>331</v>
      </c>
      <c r="Y167">
        <v>17500</v>
      </c>
      <c r="Z167" t="s">
        <v>31</v>
      </c>
      <c r="AA167">
        <v>-9.2295089106105704E-3</v>
      </c>
      <c r="AB167">
        <v>101.99</v>
      </c>
      <c r="AC167" t="s">
        <v>34</v>
      </c>
      <c r="AD167" t="s">
        <v>34</v>
      </c>
      <c r="AE167" t="s">
        <v>41</v>
      </c>
      <c r="AF167">
        <v>7.971484913922329E-2</v>
      </c>
      <c r="AG167">
        <v>1.46</v>
      </c>
      <c r="AH167" t="s">
        <v>244</v>
      </c>
      <c r="AI167" t="s">
        <v>244</v>
      </c>
      <c r="AJ167">
        <v>5.1959126857264847E-3</v>
      </c>
      <c r="AK167">
        <v>7.7182909189750853E-3</v>
      </c>
      <c r="AL167">
        <v>2.5223782332486002E-3</v>
      </c>
      <c r="AM167" t="s">
        <v>41</v>
      </c>
      <c r="AN167" t="s">
        <v>50</v>
      </c>
      <c r="AO167" t="s">
        <v>34</v>
      </c>
      <c r="AP167" t="s">
        <v>31</v>
      </c>
      <c r="AQ167">
        <v>6.1526239621873598E-4</v>
      </c>
    </row>
    <row r="168" spans="1:43" x14ac:dyDescent="0.2">
      <c r="A168">
        <v>166</v>
      </c>
      <c r="B168">
        <v>99</v>
      </c>
      <c r="C168">
        <v>6</v>
      </c>
      <c r="F168" t="s">
        <v>29</v>
      </c>
      <c r="G168" t="s">
        <v>615</v>
      </c>
      <c r="I168">
        <v>6.2223561161203545E-6</v>
      </c>
      <c r="J168">
        <v>3.8442489751112001</v>
      </c>
      <c r="K168">
        <v>3.8442489751112001</v>
      </c>
      <c r="L168" s="1"/>
      <c r="M168" s="1"/>
      <c r="N168" s="1">
        <v>43164</v>
      </c>
      <c r="R168">
        <v>-2.4229989783995497E-3</v>
      </c>
      <c r="S168">
        <v>-2.4229989783995497E-3</v>
      </c>
      <c r="T168" t="s">
        <v>32</v>
      </c>
      <c r="U168" t="s">
        <v>32</v>
      </c>
      <c r="AA168">
        <v>4.5458737396310575E-3</v>
      </c>
      <c r="AC168" t="s">
        <v>34</v>
      </c>
      <c r="AD168" t="s">
        <v>34</v>
      </c>
      <c r="AF168">
        <v>1.69</v>
      </c>
      <c r="AG168">
        <v>1.69</v>
      </c>
      <c r="AH168" t="s">
        <v>244</v>
      </c>
      <c r="AI168" t="s">
        <v>244</v>
      </c>
      <c r="AJ168">
        <v>-2.5680391001363001E-3</v>
      </c>
      <c r="AK168">
        <v>0</v>
      </c>
      <c r="AL168">
        <v>2.5680391001363001E-3</v>
      </c>
      <c r="AN168" t="s">
        <v>34</v>
      </c>
      <c r="AO168" t="s">
        <v>34</v>
      </c>
    </row>
    <row r="169" spans="1:43" x14ac:dyDescent="0.2">
      <c r="A169">
        <v>167</v>
      </c>
      <c r="B169">
        <v>99</v>
      </c>
      <c r="C169">
        <v>6</v>
      </c>
      <c r="F169" t="s">
        <v>29</v>
      </c>
      <c r="G169" t="s">
        <v>616</v>
      </c>
      <c r="I169">
        <v>4.1143034135401378E-6</v>
      </c>
      <c r="J169">
        <v>4.5879823477924004</v>
      </c>
      <c r="K169">
        <v>4.5879823477924004</v>
      </c>
      <c r="L169" s="1"/>
      <c r="M169" s="1"/>
      <c r="N169" s="1">
        <v>43164</v>
      </c>
      <c r="R169">
        <v>-2.4229989783995497E-3</v>
      </c>
      <c r="S169">
        <v>-2.4229989783995497E-3</v>
      </c>
      <c r="T169" t="s">
        <v>32</v>
      </c>
      <c r="U169" t="s">
        <v>32</v>
      </c>
      <c r="AA169">
        <v>3.0057912943992566E-3</v>
      </c>
      <c r="AC169" t="s">
        <v>34</v>
      </c>
      <c r="AD169" t="s">
        <v>34</v>
      </c>
      <c r="AF169">
        <v>1.81</v>
      </c>
      <c r="AG169">
        <v>1.81</v>
      </c>
      <c r="AH169" t="s">
        <v>244</v>
      </c>
      <c r="AI169" t="s">
        <v>244</v>
      </c>
      <c r="AJ169">
        <v>-1.6980211094673001E-3</v>
      </c>
      <c r="AK169">
        <v>0</v>
      </c>
      <c r="AL169">
        <v>1.6980211094673001E-3</v>
      </c>
      <c r="AN169" t="s">
        <v>34</v>
      </c>
      <c r="AO169" t="s">
        <v>34</v>
      </c>
    </row>
    <row r="170" spans="1:43" x14ac:dyDescent="0.2">
      <c r="A170">
        <v>168</v>
      </c>
      <c r="B170">
        <v>110</v>
      </c>
      <c r="C170">
        <v>6</v>
      </c>
      <c r="F170" t="s">
        <v>29</v>
      </c>
      <c r="G170" t="s">
        <v>1028</v>
      </c>
      <c r="I170">
        <v>-7.6301316335505645E-7</v>
      </c>
      <c r="J170">
        <v>3.6836057787700001</v>
      </c>
      <c r="K170">
        <v>3.6836057787700001</v>
      </c>
      <c r="L170" s="1"/>
      <c r="M170" s="1"/>
      <c r="N170" s="1">
        <v>43164</v>
      </c>
      <c r="R170">
        <v>8.9476952919579559E-4</v>
      </c>
      <c r="S170">
        <v>8.9476952919579559E-4</v>
      </c>
      <c r="T170" t="s">
        <v>39</v>
      </c>
      <c r="U170" t="s">
        <v>39</v>
      </c>
      <c r="AA170">
        <v>-5.5743538903254306E-4</v>
      </c>
      <c r="AC170" t="s">
        <v>34</v>
      </c>
      <c r="AD170" t="s">
        <v>34</v>
      </c>
      <c r="AF170">
        <v>4.66</v>
      </c>
      <c r="AG170">
        <v>4.66</v>
      </c>
      <c r="AH170" t="s">
        <v>244</v>
      </c>
      <c r="AI170" t="s">
        <v>244</v>
      </c>
      <c r="AJ170">
        <v>-8.5274826473007007E-4</v>
      </c>
      <c r="AK170">
        <v>0</v>
      </c>
      <c r="AL170">
        <v>8.5274826473007007E-4</v>
      </c>
      <c r="AN170" t="s">
        <v>34</v>
      </c>
      <c r="AO170" t="s">
        <v>34</v>
      </c>
    </row>
    <row r="171" spans="1:43" x14ac:dyDescent="0.2">
      <c r="A171">
        <v>169</v>
      </c>
      <c r="B171">
        <v>101</v>
      </c>
      <c r="C171">
        <v>6</v>
      </c>
      <c r="F171" t="s">
        <v>29</v>
      </c>
      <c r="G171" t="s">
        <v>617</v>
      </c>
      <c r="I171">
        <v>3.7120482348907571E-5</v>
      </c>
      <c r="J171">
        <v>6.2031590765585003</v>
      </c>
      <c r="K171">
        <v>6.2031590765585003</v>
      </c>
      <c r="L171" s="1"/>
      <c r="M171" s="1"/>
      <c r="N171" s="1">
        <v>43164</v>
      </c>
      <c r="R171">
        <v>-5.6906384243591525E-3</v>
      </c>
      <c r="S171">
        <v>-5.6906384243591525E-3</v>
      </c>
      <c r="T171" t="s">
        <v>32</v>
      </c>
      <c r="U171" t="s">
        <v>32</v>
      </c>
      <c r="W171" t="s">
        <v>618</v>
      </c>
      <c r="Z171" t="s">
        <v>31</v>
      </c>
      <c r="AA171">
        <v>2.7119152739452947E-2</v>
      </c>
      <c r="AC171" t="s">
        <v>42</v>
      </c>
      <c r="AD171" t="s">
        <v>42</v>
      </c>
      <c r="AE171" t="s">
        <v>171</v>
      </c>
      <c r="AF171">
        <v>2.0299999999999998</v>
      </c>
      <c r="AG171">
        <v>2.0299999999999998</v>
      </c>
      <c r="AH171" t="s">
        <v>244</v>
      </c>
      <c r="AI171" t="s">
        <v>244</v>
      </c>
      <c r="AJ171">
        <v>-6.5230787094135E-3</v>
      </c>
      <c r="AK171">
        <v>0</v>
      </c>
      <c r="AL171">
        <v>6.5230787094135E-3</v>
      </c>
      <c r="AM171" t="s">
        <v>171</v>
      </c>
      <c r="AN171" t="s">
        <v>42</v>
      </c>
      <c r="AO171" t="s">
        <v>42</v>
      </c>
      <c r="AP171" t="s">
        <v>31</v>
      </c>
    </row>
    <row r="172" spans="1:43" x14ac:dyDescent="0.2">
      <c r="A172">
        <v>170</v>
      </c>
      <c r="B172">
        <v>96</v>
      </c>
      <c r="C172">
        <v>6</v>
      </c>
      <c r="F172" t="s">
        <v>29</v>
      </c>
      <c r="G172" t="s">
        <v>1054</v>
      </c>
      <c r="I172">
        <v>1.7707671208484369E-6</v>
      </c>
      <c r="J172">
        <v>1.8191320355527001</v>
      </c>
      <c r="K172">
        <v>1.8191320355527001</v>
      </c>
      <c r="L172" s="1"/>
      <c r="M172" s="1"/>
      <c r="N172" s="1">
        <v>43164</v>
      </c>
      <c r="R172">
        <v>-2.4313878536657216E-3</v>
      </c>
      <c r="S172">
        <v>-2.4313878536657216E-3</v>
      </c>
      <c r="T172" t="s">
        <v>32</v>
      </c>
      <c r="U172" t="s">
        <v>32</v>
      </c>
      <c r="W172" t="s">
        <v>265</v>
      </c>
      <c r="Z172" t="s">
        <v>31</v>
      </c>
      <c r="AA172">
        <v>1.2936713366199924E-3</v>
      </c>
      <c r="AC172" t="s">
        <v>34</v>
      </c>
      <c r="AD172" t="s">
        <v>34</v>
      </c>
      <c r="AE172" t="s">
        <v>166</v>
      </c>
      <c r="AF172">
        <v>1.86</v>
      </c>
      <c r="AG172">
        <v>1.86</v>
      </c>
      <c r="AH172" t="s">
        <v>244</v>
      </c>
      <c r="AI172" t="s">
        <v>244</v>
      </c>
      <c r="AJ172">
        <v>-7.2829479598605007E-4</v>
      </c>
      <c r="AK172">
        <v>0</v>
      </c>
      <c r="AL172">
        <v>7.2829479598605007E-4</v>
      </c>
      <c r="AM172" t="s">
        <v>166</v>
      </c>
      <c r="AN172" t="s">
        <v>34</v>
      </c>
      <c r="AO172" t="s">
        <v>34</v>
      </c>
      <c r="AP172" t="s">
        <v>31</v>
      </c>
    </row>
    <row r="173" spans="1:43" x14ac:dyDescent="0.2">
      <c r="A173">
        <v>171</v>
      </c>
      <c r="B173">
        <v>89</v>
      </c>
      <c r="C173">
        <v>6</v>
      </c>
      <c r="D173">
        <v>20000</v>
      </c>
      <c r="E173" t="s">
        <v>264</v>
      </c>
      <c r="F173" t="s">
        <v>29</v>
      </c>
      <c r="G173" t="s">
        <v>619</v>
      </c>
      <c r="H173">
        <v>3.0932519403862158E-2</v>
      </c>
      <c r="I173">
        <v>-1.2261759788960174E-6</v>
      </c>
      <c r="J173">
        <v>4.72</v>
      </c>
      <c r="K173">
        <v>4.7307552057487001</v>
      </c>
      <c r="L173" s="1">
        <v>46874</v>
      </c>
      <c r="M173" s="1">
        <v>43165</v>
      </c>
      <c r="N173" s="1">
        <v>43164</v>
      </c>
      <c r="R173">
        <v>-4.3669241811467843E-4</v>
      </c>
      <c r="S173">
        <v>-2.4229989783995497E-3</v>
      </c>
      <c r="T173" t="s">
        <v>32</v>
      </c>
      <c r="U173" t="s">
        <v>32</v>
      </c>
      <c r="V173">
        <v>408584444</v>
      </c>
      <c r="W173" t="s">
        <v>265</v>
      </c>
      <c r="X173" t="s">
        <v>452</v>
      </c>
      <c r="Y173">
        <v>20000</v>
      </c>
      <c r="Z173" t="s">
        <v>31</v>
      </c>
      <c r="AA173">
        <v>-8.9580877060203227E-4</v>
      </c>
      <c r="AB173">
        <v>107.04</v>
      </c>
      <c r="AC173" t="s">
        <v>138</v>
      </c>
      <c r="AD173" t="s">
        <v>34</v>
      </c>
      <c r="AE173" t="s">
        <v>166</v>
      </c>
      <c r="AF173">
        <v>8.4014849139223288E-2</v>
      </c>
      <c r="AG173">
        <v>1.89</v>
      </c>
      <c r="AH173" t="s">
        <v>244</v>
      </c>
      <c r="AI173" t="s">
        <v>244</v>
      </c>
      <c r="AJ173">
        <v>2.8078710049278099E-3</v>
      </c>
      <c r="AK173">
        <v>6.55349987369961E-3</v>
      </c>
      <c r="AL173">
        <v>3.7456288687718001E-3</v>
      </c>
      <c r="AM173" t="s">
        <v>166</v>
      </c>
      <c r="AN173" t="s">
        <v>142</v>
      </c>
      <c r="AO173" t="s">
        <v>34</v>
      </c>
      <c r="AP173" t="s">
        <v>31</v>
      </c>
      <c r="AQ173">
        <v>5.5059130322279162E-4</v>
      </c>
    </row>
    <row r="174" spans="1:43" x14ac:dyDescent="0.2">
      <c r="A174">
        <v>172</v>
      </c>
      <c r="B174">
        <v>102</v>
      </c>
      <c r="C174">
        <v>6</v>
      </c>
      <c r="D174">
        <v>18500</v>
      </c>
      <c r="E174" t="s">
        <v>620</v>
      </c>
      <c r="F174" t="s">
        <v>29</v>
      </c>
      <c r="G174" t="s">
        <v>621</v>
      </c>
      <c r="H174">
        <v>5.0153462004692104E-2</v>
      </c>
      <c r="I174">
        <v>-1.2857733727487426E-5</v>
      </c>
      <c r="J174">
        <v>7.18</v>
      </c>
      <c r="L174" s="1">
        <v>49135</v>
      </c>
      <c r="M174" s="1">
        <v>43165</v>
      </c>
      <c r="N174" s="1"/>
      <c r="R174">
        <v>-1.8407209487297778E-3</v>
      </c>
      <c r="T174" t="s">
        <v>32</v>
      </c>
      <c r="V174">
        <v>435496837</v>
      </c>
      <c r="W174" t="s">
        <v>620</v>
      </c>
      <c r="X174" t="s">
        <v>622</v>
      </c>
      <c r="Y174">
        <v>18500</v>
      </c>
      <c r="Z174" t="s">
        <v>31</v>
      </c>
      <c r="AA174">
        <v>-9.3934890597995938E-3</v>
      </c>
      <c r="AB174">
        <v>110.52</v>
      </c>
      <c r="AC174" t="s">
        <v>34</v>
      </c>
      <c r="AE174" t="s">
        <v>41</v>
      </c>
      <c r="AF174">
        <v>8.8814849139223287E-2</v>
      </c>
      <c r="AH174" t="s">
        <v>244</v>
      </c>
      <c r="AJ174">
        <v>6.9851618390936081E-3</v>
      </c>
      <c r="AK174">
        <v>6.9851618390936081E-3</v>
      </c>
      <c r="AL174">
        <v>0</v>
      </c>
      <c r="AN174" t="s">
        <v>50</v>
      </c>
      <c r="AQ174">
        <v>6.2038609495215834E-4</v>
      </c>
    </row>
    <row r="175" spans="1:43" x14ac:dyDescent="0.2">
      <c r="A175">
        <v>173</v>
      </c>
      <c r="B175">
        <v>102</v>
      </c>
      <c r="C175">
        <v>6</v>
      </c>
      <c r="F175" t="s">
        <v>29</v>
      </c>
      <c r="G175" t="s">
        <v>623</v>
      </c>
      <c r="I175">
        <v>3.5427826914373674E-6</v>
      </c>
      <c r="J175">
        <v>5.5019113168985996</v>
      </c>
      <c r="K175">
        <v>5.5019113168985996</v>
      </c>
      <c r="L175" s="1"/>
      <c r="M175" s="1"/>
      <c r="N175" s="1">
        <v>43164</v>
      </c>
      <c r="R175">
        <v>-1.8407209487297778E-3</v>
      </c>
      <c r="S175">
        <v>-1.8407209487297778E-3</v>
      </c>
      <c r="T175" t="s">
        <v>32</v>
      </c>
      <c r="U175" t="s">
        <v>32</v>
      </c>
      <c r="W175" t="s">
        <v>620</v>
      </c>
      <c r="Z175" t="s">
        <v>31</v>
      </c>
      <c r="AA175">
        <v>2.5882547545777691E-3</v>
      </c>
      <c r="AC175" t="s">
        <v>34</v>
      </c>
      <c r="AD175" t="s">
        <v>34</v>
      </c>
      <c r="AE175" t="s">
        <v>41</v>
      </c>
      <c r="AF175">
        <v>2.2400000000000002</v>
      </c>
      <c r="AG175">
        <v>2.2400000000000002</v>
      </c>
      <c r="AH175" t="s">
        <v>244</v>
      </c>
      <c r="AI175" t="s">
        <v>244</v>
      </c>
      <c r="AJ175">
        <v>-1.924671251165E-3</v>
      </c>
      <c r="AK175">
        <v>0</v>
      </c>
      <c r="AL175">
        <v>1.924671251165E-3</v>
      </c>
      <c r="AM175" t="s">
        <v>41</v>
      </c>
      <c r="AN175" t="s">
        <v>34</v>
      </c>
      <c r="AO175" t="s">
        <v>34</v>
      </c>
      <c r="AP175" t="s">
        <v>31</v>
      </c>
    </row>
    <row r="176" spans="1:43" x14ac:dyDescent="0.2">
      <c r="A176">
        <v>174</v>
      </c>
      <c r="B176">
        <v>102</v>
      </c>
      <c r="C176">
        <v>6</v>
      </c>
      <c r="D176">
        <v>20500</v>
      </c>
      <c r="E176" t="s">
        <v>620</v>
      </c>
      <c r="F176" t="s">
        <v>29</v>
      </c>
      <c r="G176" t="s">
        <v>624</v>
      </c>
      <c r="H176">
        <v>7.4793145319407131E-2</v>
      </c>
      <c r="I176">
        <v>-1.1371670521138846E-5</v>
      </c>
      <c r="J176">
        <v>8.73</v>
      </c>
      <c r="K176">
        <v>8.7319574210018995</v>
      </c>
      <c r="L176" s="1">
        <v>50895</v>
      </c>
      <c r="M176" s="1">
        <v>43165</v>
      </c>
      <c r="N176" s="1">
        <v>43164</v>
      </c>
      <c r="R176">
        <v>-1.8407209487297778E-3</v>
      </c>
      <c r="S176">
        <v>-1.8407209487297778E-3</v>
      </c>
      <c r="T176" t="s">
        <v>32</v>
      </c>
      <c r="U176" t="s">
        <v>32</v>
      </c>
      <c r="V176">
        <v>534141210</v>
      </c>
      <c r="W176" t="s">
        <v>620</v>
      </c>
      <c r="X176" t="s">
        <v>622</v>
      </c>
      <c r="Y176">
        <v>20500</v>
      </c>
      <c r="Z176" t="s">
        <v>31</v>
      </c>
      <c r="AA176">
        <v>-8.3078141837393069E-3</v>
      </c>
      <c r="AB176">
        <v>111.03</v>
      </c>
      <c r="AC176" t="s">
        <v>34</v>
      </c>
      <c r="AD176" t="s">
        <v>34</v>
      </c>
      <c r="AE176" t="s">
        <v>41</v>
      </c>
      <c r="AF176">
        <v>9.0314849139223288E-2</v>
      </c>
      <c r="AG176">
        <v>2.5299999999999998</v>
      </c>
      <c r="AH176" t="s">
        <v>244</v>
      </c>
      <c r="AI176" t="s">
        <v>244</v>
      </c>
      <c r="AJ176">
        <v>6.1778351188897318E-3</v>
      </c>
      <c r="AK176">
        <v>8.567370597870232E-3</v>
      </c>
      <c r="AL176">
        <v>2.3895354789805002E-3</v>
      </c>
      <c r="AM176" t="s">
        <v>41</v>
      </c>
      <c r="AN176" t="s">
        <v>50</v>
      </c>
      <c r="AO176" t="s">
        <v>34</v>
      </c>
      <c r="AP176" t="s">
        <v>31</v>
      </c>
      <c r="AQ176">
        <v>7.7376078306646721E-4</v>
      </c>
    </row>
    <row r="177" spans="1:43" x14ac:dyDescent="0.2">
      <c r="A177">
        <v>175</v>
      </c>
      <c r="B177">
        <v>107</v>
      </c>
      <c r="C177">
        <v>6</v>
      </c>
      <c r="F177" t="s">
        <v>29</v>
      </c>
      <c r="G177" t="s">
        <v>625</v>
      </c>
      <c r="I177">
        <v>1.5731586281063701E-7</v>
      </c>
      <c r="J177">
        <v>2.1854613430172001</v>
      </c>
      <c r="K177">
        <v>2.1854613430172001</v>
      </c>
      <c r="L177" s="1"/>
      <c r="M177" s="1"/>
      <c r="N177" s="1">
        <v>43164</v>
      </c>
      <c r="R177">
        <v>-2.0737663149124656E-4</v>
      </c>
      <c r="S177">
        <v>-2.0737663149124656E-4</v>
      </c>
      <c r="T177" t="s">
        <v>39</v>
      </c>
      <c r="U177" t="s">
        <v>39</v>
      </c>
      <c r="AA177">
        <v>1.1493042767603056E-4</v>
      </c>
      <c r="AC177" t="s">
        <v>33</v>
      </c>
      <c r="AD177" t="s">
        <v>33</v>
      </c>
      <c r="AF177">
        <v>3.85</v>
      </c>
      <c r="AG177">
        <v>3.85</v>
      </c>
      <c r="AH177" t="s">
        <v>244</v>
      </c>
      <c r="AI177" t="s">
        <v>244</v>
      </c>
      <c r="AJ177">
        <v>-7.5859975967097998E-4</v>
      </c>
      <c r="AK177">
        <v>0</v>
      </c>
      <c r="AL177">
        <v>7.5859975967097998E-4</v>
      </c>
      <c r="AN177" t="s">
        <v>33</v>
      </c>
      <c r="AO177" t="s">
        <v>33</v>
      </c>
    </row>
    <row r="178" spans="1:43" x14ac:dyDescent="0.2">
      <c r="A178">
        <v>176</v>
      </c>
      <c r="B178">
        <v>96</v>
      </c>
      <c r="C178">
        <v>6</v>
      </c>
      <c r="F178" t="s">
        <v>29</v>
      </c>
      <c r="G178" t="s">
        <v>374</v>
      </c>
      <c r="I178">
        <v>1.0696432092079982E-5</v>
      </c>
      <c r="J178">
        <v>2.2552356799411002</v>
      </c>
      <c r="K178">
        <v>2.2552356799411002</v>
      </c>
      <c r="L178" s="1"/>
      <c r="M178" s="1"/>
      <c r="N178" s="1">
        <v>43164</v>
      </c>
      <c r="R178">
        <v>-2.4313878536657216E-3</v>
      </c>
      <c r="S178">
        <v>-2.4313878536657216E-3</v>
      </c>
      <c r="T178" t="s">
        <v>32</v>
      </c>
      <c r="U178" t="s">
        <v>32</v>
      </c>
      <c r="W178" t="s">
        <v>276</v>
      </c>
      <c r="Z178" t="s">
        <v>31</v>
      </c>
      <c r="AA178">
        <v>7.8145044815356515E-3</v>
      </c>
      <c r="AC178" t="s">
        <v>33</v>
      </c>
      <c r="AD178" t="s">
        <v>33</v>
      </c>
      <c r="AE178" t="s">
        <v>41</v>
      </c>
      <c r="AF178">
        <v>1.36</v>
      </c>
      <c r="AG178">
        <v>1.36</v>
      </c>
      <c r="AH178" t="s">
        <v>244</v>
      </c>
      <c r="AI178" t="s">
        <v>244</v>
      </c>
      <c r="AJ178">
        <v>-4.3993113134761005E-3</v>
      </c>
      <c r="AK178">
        <v>0</v>
      </c>
      <c r="AL178">
        <v>4.3993113134761005E-3</v>
      </c>
      <c r="AM178" t="s">
        <v>41</v>
      </c>
      <c r="AN178" t="s">
        <v>33</v>
      </c>
      <c r="AO178" t="s">
        <v>33</v>
      </c>
      <c r="AP178" t="s">
        <v>31</v>
      </c>
    </row>
    <row r="179" spans="1:43" x14ac:dyDescent="0.2">
      <c r="A179">
        <v>177</v>
      </c>
      <c r="B179">
        <v>93</v>
      </c>
      <c r="C179">
        <v>6</v>
      </c>
      <c r="F179" t="s">
        <v>29</v>
      </c>
      <c r="G179" t="s">
        <v>333</v>
      </c>
      <c r="I179">
        <v>5.4824824348030364E-6</v>
      </c>
      <c r="J179">
        <v>0.32328767123287999</v>
      </c>
      <c r="K179">
        <v>0.32328767123287999</v>
      </c>
      <c r="L179" s="1"/>
      <c r="M179" s="1"/>
      <c r="N179" s="1">
        <v>43164</v>
      </c>
      <c r="R179">
        <v>-2.1922679503766566E-3</v>
      </c>
      <c r="S179">
        <v>-2.1922679503766566E-3</v>
      </c>
      <c r="T179" t="s">
        <v>32</v>
      </c>
      <c r="U179" t="s">
        <v>32</v>
      </c>
      <c r="W179" t="s">
        <v>276</v>
      </c>
      <c r="Z179" t="s">
        <v>31</v>
      </c>
      <c r="AA179">
        <v>4.005343388140725E-3</v>
      </c>
      <c r="AC179" t="s">
        <v>33</v>
      </c>
      <c r="AD179" t="s">
        <v>33</v>
      </c>
      <c r="AE179" t="s">
        <v>41</v>
      </c>
      <c r="AF179">
        <v>0.99</v>
      </c>
      <c r="AG179">
        <v>0.99</v>
      </c>
      <c r="AH179" t="s">
        <v>244</v>
      </c>
      <c r="AI179" t="s">
        <v>244</v>
      </c>
      <c r="AJ179">
        <v>-2.5008267962231003E-3</v>
      </c>
      <c r="AK179">
        <v>0</v>
      </c>
      <c r="AL179">
        <v>2.5008267962231003E-3</v>
      </c>
      <c r="AM179" t="s">
        <v>41</v>
      </c>
      <c r="AN179" t="s">
        <v>33</v>
      </c>
      <c r="AO179" t="s">
        <v>33</v>
      </c>
      <c r="AP179" t="s">
        <v>31</v>
      </c>
    </row>
    <row r="180" spans="1:43" x14ac:dyDescent="0.2">
      <c r="A180">
        <v>178</v>
      </c>
      <c r="B180">
        <v>96</v>
      </c>
      <c r="C180">
        <v>6</v>
      </c>
      <c r="D180">
        <v>25000</v>
      </c>
      <c r="E180" t="s">
        <v>332</v>
      </c>
      <c r="F180" t="s">
        <v>29</v>
      </c>
      <c r="G180" t="s">
        <v>375</v>
      </c>
      <c r="H180">
        <v>2.5363454192395399E-2</v>
      </c>
      <c r="I180">
        <v>-1.2347695116880083E-5</v>
      </c>
      <c r="J180">
        <v>2.25</v>
      </c>
      <c r="K180">
        <v>2.2548577077837999</v>
      </c>
      <c r="L180" s="1">
        <v>44013</v>
      </c>
      <c r="M180" s="1">
        <v>43165</v>
      </c>
      <c r="N180" s="1">
        <v>43164</v>
      </c>
      <c r="R180">
        <v>-2.4313878536657216E-3</v>
      </c>
      <c r="S180">
        <v>-2.4313878536657216E-3</v>
      </c>
      <c r="T180" t="s">
        <v>32</v>
      </c>
      <c r="U180" t="s">
        <v>32</v>
      </c>
      <c r="V180">
        <v>702804305</v>
      </c>
      <c r="W180" t="s">
        <v>276</v>
      </c>
      <c r="X180" t="s">
        <v>334</v>
      </c>
      <c r="Y180">
        <v>25000</v>
      </c>
      <c r="Z180" t="s">
        <v>31</v>
      </c>
      <c r="AA180">
        <v>-9.0208695756541796E-3</v>
      </c>
      <c r="AB180">
        <v>103.75</v>
      </c>
      <c r="AC180" t="s">
        <v>33</v>
      </c>
      <c r="AD180" t="s">
        <v>33</v>
      </c>
      <c r="AE180" t="s">
        <v>41</v>
      </c>
      <c r="AF180">
        <v>7.8514849139223283E-2</v>
      </c>
      <c r="AG180">
        <v>1.36</v>
      </c>
      <c r="AH180" t="s">
        <v>244</v>
      </c>
      <c r="AI180" t="s">
        <v>244</v>
      </c>
      <c r="AJ180">
        <v>5.0784555406344894E-3</v>
      </c>
      <c r="AK180">
        <v>1.1272646307731289E-2</v>
      </c>
      <c r="AL180">
        <v>6.1941907670967997E-3</v>
      </c>
      <c r="AM180" t="s">
        <v>41</v>
      </c>
      <c r="AN180" t="s">
        <v>144</v>
      </c>
      <c r="AO180" t="s">
        <v>33</v>
      </c>
      <c r="AP180" t="s">
        <v>31</v>
      </c>
      <c r="AQ180">
        <v>8.8507012425134452E-4</v>
      </c>
    </row>
    <row r="181" spans="1:43" x14ac:dyDescent="0.2">
      <c r="A181">
        <v>179</v>
      </c>
      <c r="B181">
        <v>99</v>
      </c>
      <c r="C181">
        <v>6</v>
      </c>
      <c r="F181" t="s">
        <v>29</v>
      </c>
      <c r="G181" t="s">
        <v>626</v>
      </c>
      <c r="I181">
        <v>7.8912485257862063E-6</v>
      </c>
      <c r="J181">
        <v>3.1787327432437</v>
      </c>
      <c r="K181">
        <v>3.1787327432437</v>
      </c>
      <c r="L181" s="1"/>
      <c r="M181" s="1"/>
      <c r="N181" s="1">
        <v>43164</v>
      </c>
      <c r="R181">
        <v>-2.4229989783995497E-3</v>
      </c>
      <c r="S181">
        <v>-2.4229989783995497E-3</v>
      </c>
      <c r="T181" t="s">
        <v>32</v>
      </c>
      <c r="U181" t="s">
        <v>32</v>
      </c>
      <c r="W181" t="s">
        <v>276</v>
      </c>
      <c r="Z181" t="s">
        <v>31</v>
      </c>
      <c r="AA181">
        <v>5.7651183533739027E-3</v>
      </c>
      <c r="AC181" t="s">
        <v>33</v>
      </c>
      <c r="AD181" t="s">
        <v>33</v>
      </c>
      <c r="AE181" t="s">
        <v>41</v>
      </c>
      <c r="AF181">
        <v>1.64</v>
      </c>
      <c r="AG181">
        <v>1.64</v>
      </c>
      <c r="AH181" t="s">
        <v>244</v>
      </c>
      <c r="AI181" t="s">
        <v>244</v>
      </c>
      <c r="AJ181">
        <v>-3.2568105047236003E-3</v>
      </c>
      <c r="AK181">
        <v>0</v>
      </c>
      <c r="AL181">
        <v>3.2568105047236003E-3</v>
      </c>
      <c r="AM181" t="s">
        <v>41</v>
      </c>
      <c r="AN181" t="s">
        <v>33</v>
      </c>
      <c r="AO181" t="s">
        <v>33</v>
      </c>
      <c r="AP181" t="s">
        <v>31</v>
      </c>
    </row>
    <row r="182" spans="1:43" x14ac:dyDescent="0.2">
      <c r="A182">
        <v>180</v>
      </c>
      <c r="B182">
        <v>99</v>
      </c>
      <c r="C182">
        <v>6</v>
      </c>
      <c r="F182" t="s">
        <v>29</v>
      </c>
      <c r="G182" t="s">
        <v>627</v>
      </c>
      <c r="I182">
        <v>1.2645914655449851E-5</v>
      </c>
      <c r="J182">
        <v>4.0776884433909997</v>
      </c>
      <c r="K182">
        <v>4.0776884433909997</v>
      </c>
      <c r="L182" s="1"/>
      <c r="M182" s="1"/>
      <c r="N182" s="1">
        <v>43164</v>
      </c>
      <c r="R182">
        <v>-2.4229989783995497E-3</v>
      </c>
      <c r="S182">
        <v>-2.4229989783995497E-3</v>
      </c>
      <c r="T182" t="s">
        <v>32</v>
      </c>
      <c r="U182" t="s">
        <v>32</v>
      </c>
      <c r="AA182">
        <v>9.2387401609646293E-3</v>
      </c>
      <c r="AC182" t="s">
        <v>33</v>
      </c>
      <c r="AD182" t="s">
        <v>33</v>
      </c>
      <c r="AF182">
        <v>1.68</v>
      </c>
      <c r="AG182">
        <v>1.68</v>
      </c>
      <c r="AH182" t="s">
        <v>244</v>
      </c>
      <c r="AI182" t="s">
        <v>244</v>
      </c>
      <c r="AJ182">
        <v>-5.2191167921180007E-3</v>
      </c>
      <c r="AK182">
        <v>0</v>
      </c>
      <c r="AL182">
        <v>5.2191167921180007E-3</v>
      </c>
      <c r="AN182" t="s">
        <v>33</v>
      </c>
      <c r="AO182" t="s">
        <v>33</v>
      </c>
    </row>
    <row r="183" spans="1:43" x14ac:dyDescent="0.2">
      <c r="A183">
        <v>181</v>
      </c>
      <c r="B183">
        <v>99</v>
      </c>
      <c r="C183">
        <v>6</v>
      </c>
      <c r="F183" t="s">
        <v>29</v>
      </c>
      <c r="G183" t="s">
        <v>1029</v>
      </c>
      <c r="I183">
        <v>8.4755230464915429E-6</v>
      </c>
      <c r="J183">
        <v>4.9508001126696</v>
      </c>
      <c r="K183">
        <v>4.9508001126696</v>
      </c>
      <c r="L183" s="1"/>
      <c r="M183" s="1"/>
      <c r="N183" s="1">
        <v>43164</v>
      </c>
      <c r="R183">
        <v>-2.4229989783995497E-3</v>
      </c>
      <c r="S183">
        <v>-2.4229989783995497E-3</v>
      </c>
      <c r="T183" t="s">
        <v>32</v>
      </c>
      <c r="U183" t="s">
        <v>32</v>
      </c>
      <c r="AA183">
        <v>6.1919724502535189E-3</v>
      </c>
      <c r="AC183" t="s">
        <v>33</v>
      </c>
      <c r="AD183" t="s">
        <v>33</v>
      </c>
      <c r="AF183">
        <v>1.87</v>
      </c>
      <c r="AG183">
        <v>1.87</v>
      </c>
      <c r="AH183" t="s">
        <v>244</v>
      </c>
      <c r="AI183" t="s">
        <v>244</v>
      </c>
      <c r="AJ183">
        <v>-3.4979474288057001E-3</v>
      </c>
      <c r="AK183">
        <v>0</v>
      </c>
      <c r="AL183">
        <v>3.4979474288057001E-3</v>
      </c>
      <c r="AN183" t="s">
        <v>33</v>
      </c>
      <c r="AO183" t="s">
        <v>33</v>
      </c>
    </row>
    <row r="184" spans="1:43" x14ac:dyDescent="0.2">
      <c r="A184">
        <v>182</v>
      </c>
      <c r="B184">
        <v>102</v>
      </c>
      <c r="C184">
        <v>6</v>
      </c>
      <c r="D184">
        <v>20000</v>
      </c>
      <c r="E184" t="s">
        <v>332</v>
      </c>
      <c r="F184" t="s">
        <v>29</v>
      </c>
      <c r="G184" t="s">
        <v>628</v>
      </c>
      <c r="H184">
        <v>6.0942755664285461E-2</v>
      </c>
      <c r="I184">
        <v>-6.4576999438339288E-6</v>
      </c>
      <c r="J184">
        <v>6.62</v>
      </c>
      <c r="K184">
        <v>6.6260079524071003</v>
      </c>
      <c r="L184" s="1">
        <v>45839</v>
      </c>
      <c r="M184" s="1">
        <v>43165</v>
      </c>
      <c r="N184" s="1">
        <v>43164</v>
      </c>
      <c r="R184">
        <v>-1.8407209487297778E-3</v>
      </c>
      <c r="S184">
        <v>-1.8407209487297778E-3</v>
      </c>
      <c r="T184" t="s">
        <v>32</v>
      </c>
      <c r="U184" t="s">
        <v>32</v>
      </c>
      <c r="V184">
        <v>573948111</v>
      </c>
      <c r="W184" t="s">
        <v>276</v>
      </c>
      <c r="X184" t="s">
        <v>381</v>
      </c>
      <c r="Y184">
        <v>20000</v>
      </c>
      <c r="Z184" t="s">
        <v>31</v>
      </c>
      <c r="AA184">
        <v>-4.7178091458055342E-3</v>
      </c>
      <c r="AB184">
        <v>105.91</v>
      </c>
      <c r="AC184" t="s">
        <v>33</v>
      </c>
      <c r="AD184" t="s">
        <v>33</v>
      </c>
      <c r="AE184" t="s">
        <v>41</v>
      </c>
      <c r="AF184">
        <v>8.6314849139223285E-2</v>
      </c>
      <c r="AG184">
        <v>2.14</v>
      </c>
      <c r="AH184" t="s">
        <v>244</v>
      </c>
      <c r="AI184" t="s">
        <v>244</v>
      </c>
      <c r="AJ184">
        <v>3.5082449342960864E-3</v>
      </c>
      <c r="AK184">
        <v>9.2058543299524866E-3</v>
      </c>
      <c r="AL184">
        <v>5.6976093956564002E-3</v>
      </c>
      <c r="AM184" t="s">
        <v>41</v>
      </c>
      <c r="AN184" t="s">
        <v>144</v>
      </c>
      <c r="AO184" t="s">
        <v>33</v>
      </c>
      <c r="AP184" t="s">
        <v>31</v>
      </c>
      <c r="AQ184">
        <v>7.946019276875143E-4</v>
      </c>
    </row>
    <row r="185" spans="1:43" x14ac:dyDescent="0.2">
      <c r="A185">
        <v>183</v>
      </c>
      <c r="B185">
        <v>102</v>
      </c>
      <c r="C185">
        <v>6</v>
      </c>
      <c r="D185">
        <v>36000</v>
      </c>
      <c r="E185" t="s">
        <v>332</v>
      </c>
      <c r="F185" t="s">
        <v>29</v>
      </c>
      <c r="G185" t="s">
        <v>629</v>
      </c>
      <c r="H185">
        <v>0.12273285673075793</v>
      </c>
      <c r="I185">
        <v>-1.1925127908676516E-5</v>
      </c>
      <c r="J185">
        <v>7.42</v>
      </c>
      <c r="K185">
        <v>7.4261156506477004</v>
      </c>
      <c r="L185" s="1">
        <v>46204</v>
      </c>
      <c r="M185" s="1">
        <v>43165</v>
      </c>
      <c r="N185" s="1">
        <v>43164</v>
      </c>
      <c r="R185">
        <v>-1.8407209487297778E-3</v>
      </c>
      <c r="S185">
        <v>-1.8407209487297778E-3</v>
      </c>
      <c r="T185" t="s">
        <v>32</v>
      </c>
      <c r="U185" t="s">
        <v>32</v>
      </c>
      <c r="V185">
        <v>1031253582</v>
      </c>
      <c r="W185" t="s">
        <v>276</v>
      </c>
      <c r="X185" t="s">
        <v>334</v>
      </c>
      <c r="Y185">
        <v>36000</v>
      </c>
      <c r="Z185" t="s">
        <v>31</v>
      </c>
      <c r="AA185">
        <v>-8.7121541728142158E-3</v>
      </c>
      <c r="AB185">
        <v>105.73</v>
      </c>
      <c r="AC185" t="s">
        <v>33</v>
      </c>
      <c r="AD185" t="s">
        <v>33</v>
      </c>
      <c r="AE185" t="s">
        <v>41</v>
      </c>
      <c r="AF185">
        <v>8.7514849139223277E-2</v>
      </c>
      <c r="AG185">
        <v>2.2599999999999998</v>
      </c>
      <c r="AH185" t="s">
        <v>244</v>
      </c>
      <c r="AI185" t="s">
        <v>244</v>
      </c>
      <c r="AJ185">
        <v>6.4785093671616348E-3</v>
      </c>
      <c r="AK185">
        <v>1.6540816270991635E-2</v>
      </c>
      <c r="AL185">
        <v>1.006230690383E-2</v>
      </c>
      <c r="AM185" t="s">
        <v>41</v>
      </c>
      <c r="AN185" t="s">
        <v>144</v>
      </c>
      <c r="AO185" t="s">
        <v>33</v>
      </c>
      <c r="AP185" t="s">
        <v>31</v>
      </c>
      <c r="AQ185">
        <v>1.4475670405954427E-3</v>
      </c>
    </row>
    <row r="186" spans="1:43" x14ac:dyDescent="0.2">
      <c r="A186">
        <v>184</v>
      </c>
      <c r="B186">
        <v>102</v>
      </c>
      <c r="C186">
        <v>6</v>
      </c>
      <c r="F186" t="s">
        <v>29</v>
      </c>
      <c r="G186" t="s">
        <v>630</v>
      </c>
      <c r="I186">
        <v>2.095958366834562E-5</v>
      </c>
      <c r="J186">
        <v>8.2045863620285004</v>
      </c>
      <c r="K186">
        <v>8.2045863620285004</v>
      </c>
      <c r="L186" s="1"/>
      <c r="M186" s="1"/>
      <c r="N186" s="1">
        <v>43164</v>
      </c>
      <c r="R186">
        <v>-1.8407209487297778E-3</v>
      </c>
      <c r="S186">
        <v>-1.8407209487297778E-3</v>
      </c>
      <c r="T186" t="s">
        <v>32</v>
      </c>
      <c r="U186" t="s">
        <v>32</v>
      </c>
      <c r="AA186">
        <v>1.5312466726983038E-2</v>
      </c>
      <c r="AC186" t="s">
        <v>33</v>
      </c>
      <c r="AD186" t="s">
        <v>33</v>
      </c>
      <c r="AF186">
        <v>2.33</v>
      </c>
      <c r="AG186">
        <v>2.33</v>
      </c>
      <c r="AH186" t="s">
        <v>244</v>
      </c>
      <c r="AI186" t="s">
        <v>244</v>
      </c>
      <c r="AJ186">
        <v>-1.138661657695E-2</v>
      </c>
      <c r="AK186">
        <v>0</v>
      </c>
      <c r="AL186">
        <v>1.138661657695E-2</v>
      </c>
      <c r="AN186" t="s">
        <v>33</v>
      </c>
      <c r="AO186" t="s">
        <v>33</v>
      </c>
    </row>
    <row r="187" spans="1:43" x14ac:dyDescent="0.2">
      <c r="A187">
        <v>185</v>
      </c>
      <c r="B187">
        <v>102</v>
      </c>
      <c r="C187">
        <v>6</v>
      </c>
      <c r="F187" t="s">
        <v>29</v>
      </c>
      <c r="G187" t="s">
        <v>1055</v>
      </c>
      <c r="I187">
        <v>1.934547093752513E-5</v>
      </c>
      <c r="J187">
        <v>8.9628974287629006</v>
      </c>
      <c r="K187">
        <v>8.9628974287629006</v>
      </c>
      <c r="L187" s="1"/>
      <c r="M187" s="1"/>
      <c r="N187" s="1">
        <v>43164</v>
      </c>
      <c r="R187">
        <v>-1.8407209487297778E-3</v>
      </c>
      <c r="S187">
        <v>-1.8407209487297778E-3</v>
      </c>
      <c r="T187" t="s">
        <v>32</v>
      </c>
      <c r="U187" t="s">
        <v>32</v>
      </c>
      <c r="AA187">
        <v>1.4133242565120697E-2</v>
      </c>
      <c r="AC187" t="s">
        <v>33</v>
      </c>
      <c r="AD187" t="s">
        <v>33</v>
      </c>
      <c r="AF187">
        <v>2.39</v>
      </c>
      <c r="AG187">
        <v>2.39</v>
      </c>
      <c r="AH187" t="s">
        <v>244</v>
      </c>
      <c r="AI187" t="s">
        <v>244</v>
      </c>
      <c r="AJ187">
        <v>-1.0509724980787999E-2</v>
      </c>
      <c r="AK187">
        <v>0</v>
      </c>
      <c r="AL187">
        <v>1.0509724980787999E-2</v>
      </c>
      <c r="AN187" t="s">
        <v>33</v>
      </c>
      <c r="AO187" t="s">
        <v>33</v>
      </c>
    </row>
    <row r="188" spans="1:43" x14ac:dyDescent="0.2">
      <c r="A188">
        <v>186</v>
      </c>
      <c r="B188">
        <v>107</v>
      </c>
      <c r="C188">
        <v>6</v>
      </c>
      <c r="D188">
        <v>150000000</v>
      </c>
      <c r="E188" t="s">
        <v>332</v>
      </c>
      <c r="F188" t="s">
        <v>29</v>
      </c>
      <c r="G188" t="s">
        <v>631</v>
      </c>
      <c r="H188">
        <v>5.8582540586913064E-3</v>
      </c>
      <c r="I188">
        <v>-2.0664142352723505E-7</v>
      </c>
      <c r="J188">
        <v>2.37</v>
      </c>
      <c r="K188">
        <v>2.3783092719973</v>
      </c>
      <c r="L188" s="1">
        <v>44075</v>
      </c>
      <c r="M188" s="1">
        <v>43165</v>
      </c>
      <c r="N188" s="1">
        <v>43164</v>
      </c>
      <c r="R188">
        <v>-2.0737663149124656E-4</v>
      </c>
      <c r="S188">
        <v>-2.0737663149124656E-4</v>
      </c>
      <c r="T188" t="s">
        <v>39</v>
      </c>
      <c r="U188" t="s">
        <v>39</v>
      </c>
      <c r="V188">
        <v>154109137</v>
      </c>
      <c r="W188" t="s">
        <v>276</v>
      </c>
      <c r="X188" t="s">
        <v>334</v>
      </c>
      <c r="Y188">
        <v>150000000</v>
      </c>
      <c r="Z188" t="s">
        <v>31</v>
      </c>
      <c r="AA188">
        <v>-1.5096625831151122E-4</v>
      </c>
      <c r="AB188">
        <v>102.66</v>
      </c>
      <c r="AC188" t="s">
        <v>33</v>
      </c>
      <c r="AD188" t="s">
        <v>33</v>
      </c>
      <c r="AE188" t="s">
        <v>41</v>
      </c>
      <c r="AF188">
        <v>3.8899999999999997E-2</v>
      </c>
      <c r="AG188">
        <v>3.9</v>
      </c>
      <c r="AH188" t="s">
        <v>244</v>
      </c>
      <c r="AI188" t="s">
        <v>244</v>
      </c>
      <c r="AJ188">
        <v>9.9645472125415181E-4</v>
      </c>
      <c r="AK188">
        <v>2.4718371555659518E-3</v>
      </c>
      <c r="AL188">
        <v>1.4753824343118E-3</v>
      </c>
      <c r="AM188" t="s">
        <v>41</v>
      </c>
      <c r="AN188" t="s">
        <v>144</v>
      </c>
      <c r="AO188" t="s">
        <v>33</v>
      </c>
      <c r="AP188" t="s">
        <v>31</v>
      </c>
      <c r="AQ188">
        <v>9.6154465351515515E-5</v>
      </c>
    </row>
    <row r="189" spans="1:43" x14ac:dyDescent="0.2">
      <c r="A189">
        <v>187</v>
      </c>
      <c r="B189">
        <v>110</v>
      </c>
      <c r="C189">
        <v>6</v>
      </c>
      <c r="D189">
        <v>300000000</v>
      </c>
      <c r="E189" t="s">
        <v>332</v>
      </c>
      <c r="F189" t="s">
        <v>29</v>
      </c>
      <c r="G189" t="s">
        <v>632</v>
      </c>
      <c r="H189">
        <v>1.5968353315633458E-2</v>
      </c>
      <c r="I189">
        <v>3.1941775565454089E-6</v>
      </c>
      <c r="J189">
        <v>3.25</v>
      </c>
      <c r="K189">
        <v>3.2525966701677</v>
      </c>
      <c r="L189" s="1">
        <v>44440</v>
      </c>
      <c r="M189" s="1">
        <v>43165</v>
      </c>
      <c r="N189" s="1">
        <v>43164</v>
      </c>
      <c r="R189">
        <v>8.9476952919579559E-4</v>
      </c>
      <c r="S189">
        <v>8.9476952919579559E-4</v>
      </c>
      <c r="T189" t="s">
        <v>39</v>
      </c>
      <c r="U189" t="s">
        <v>39</v>
      </c>
      <c r="V189">
        <v>306327019</v>
      </c>
      <c r="W189" t="s">
        <v>276</v>
      </c>
      <c r="X189" t="s">
        <v>334</v>
      </c>
      <c r="Y189">
        <v>300000000</v>
      </c>
      <c r="Z189" t="s">
        <v>31</v>
      </c>
      <c r="AA189">
        <v>2.3335739072215156E-3</v>
      </c>
      <c r="AB189">
        <v>102.04</v>
      </c>
      <c r="AC189" t="s">
        <v>33</v>
      </c>
      <c r="AD189" t="s">
        <v>33</v>
      </c>
      <c r="AE189" t="s">
        <v>41</v>
      </c>
      <c r="AF189">
        <v>4.3999999999999997E-2</v>
      </c>
      <c r="AG189">
        <v>4.37</v>
      </c>
      <c r="AH189" t="s">
        <v>244</v>
      </c>
      <c r="AI189" t="s">
        <v>244</v>
      </c>
      <c r="AJ189">
        <v>3.5698327360524718E-3</v>
      </c>
      <c r="AK189">
        <v>4.913339481733372E-3</v>
      </c>
      <c r="AL189">
        <v>1.3435067456809E-3</v>
      </c>
      <c r="AM189" t="s">
        <v>41</v>
      </c>
      <c r="AN189" t="s">
        <v>144</v>
      </c>
      <c r="AO189" t="s">
        <v>33</v>
      </c>
      <c r="AP189" t="s">
        <v>31</v>
      </c>
      <c r="AQ189">
        <v>2.1618693719626837E-4</v>
      </c>
    </row>
    <row r="190" spans="1:43" x14ac:dyDescent="0.2">
      <c r="A190">
        <v>188</v>
      </c>
      <c r="B190">
        <v>110</v>
      </c>
      <c r="C190">
        <v>6</v>
      </c>
      <c r="F190" t="s">
        <v>29</v>
      </c>
      <c r="G190" t="s">
        <v>1056</v>
      </c>
      <c r="I190">
        <v>-8.3713506688080175E-7</v>
      </c>
      <c r="J190">
        <v>4.0852287338363</v>
      </c>
      <c r="K190">
        <v>4.0852287338363</v>
      </c>
      <c r="L190" s="1"/>
      <c r="M190" s="1"/>
      <c r="N190" s="1">
        <v>43164</v>
      </c>
      <c r="R190">
        <v>8.9476952919579559E-4</v>
      </c>
      <c r="S190">
        <v>8.9476952919579559E-4</v>
      </c>
      <c r="T190" t="s">
        <v>39</v>
      </c>
      <c r="U190" t="s">
        <v>39</v>
      </c>
      <c r="AA190">
        <v>-6.1158671185641898E-4</v>
      </c>
      <c r="AC190" t="s">
        <v>33</v>
      </c>
      <c r="AD190" t="s">
        <v>33</v>
      </c>
      <c r="AF190">
        <v>4.5599999999999996</v>
      </c>
      <c r="AG190">
        <v>4.5599999999999996</v>
      </c>
      <c r="AH190" t="s">
        <v>244</v>
      </c>
      <c r="AI190" t="s">
        <v>244</v>
      </c>
      <c r="AJ190">
        <v>-9.3558736586973998E-4</v>
      </c>
      <c r="AK190">
        <v>0</v>
      </c>
      <c r="AL190">
        <v>9.3558736586973998E-4</v>
      </c>
      <c r="AN190" t="s">
        <v>33</v>
      </c>
      <c r="AO190" t="s">
        <v>33</v>
      </c>
    </row>
    <row r="191" spans="1:43" x14ac:dyDescent="0.2">
      <c r="A191">
        <v>189</v>
      </c>
      <c r="B191">
        <v>110</v>
      </c>
      <c r="C191">
        <v>6</v>
      </c>
      <c r="F191" t="s">
        <v>29</v>
      </c>
      <c r="G191" t="s">
        <v>633</v>
      </c>
      <c r="I191">
        <v>-2.7751286308027007E-6</v>
      </c>
      <c r="J191">
        <v>4.8764956057738003</v>
      </c>
      <c r="K191">
        <v>4.8764956057738003</v>
      </c>
      <c r="L191" s="1"/>
      <c r="M191" s="1"/>
      <c r="N191" s="1">
        <v>43164</v>
      </c>
      <c r="R191">
        <v>8.9476952919579559E-4</v>
      </c>
      <c r="S191">
        <v>8.9476952919579559E-4</v>
      </c>
      <c r="T191" t="s">
        <v>39</v>
      </c>
      <c r="U191" t="s">
        <v>39</v>
      </c>
      <c r="AA191">
        <v>-2.0274288599749887E-3</v>
      </c>
      <c r="AC191" t="s">
        <v>33</v>
      </c>
      <c r="AD191" t="s">
        <v>33</v>
      </c>
      <c r="AF191">
        <v>4.76</v>
      </c>
      <c r="AG191">
        <v>4.76</v>
      </c>
      <c r="AH191" t="s">
        <v>244</v>
      </c>
      <c r="AI191" t="s">
        <v>244</v>
      </c>
      <c r="AJ191">
        <v>-3.1015010460815999E-3</v>
      </c>
      <c r="AK191">
        <v>0</v>
      </c>
      <c r="AL191">
        <v>3.1015010460815999E-3</v>
      </c>
      <c r="AN191" t="s">
        <v>33</v>
      </c>
      <c r="AO191" t="s">
        <v>33</v>
      </c>
    </row>
    <row r="192" spans="1:43" x14ac:dyDescent="0.2">
      <c r="A192">
        <v>190</v>
      </c>
      <c r="B192">
        <v>112</v>
      </c>
      <c r="C192">
        <v>6</v>
      </c>
      <c r="F192" t="s">
        <v>29</v>
      </c>
      <c r="G192" t="s">
        <v>634</v>
      </c>
      <c r="I192">
        <v>-2.5146727721092899E-6</v>
      </c>
      <c r="J192">
        <v>5.6325078320113997</v>
      </c>
      <c r="K192">
        <v>5.6325078320113997</v>
      </c>
      <c r="L192" s="1"/>
      <c r="M192" s="1"/>
      <c r="N192" s="1">
        <v>43164</v>
      </c>
      <c r="R192">
        <v>8.1247433333285848E-4</v>
      </c>
      <c r="S192">
        <v>8.1247433333285848E-4</v>
      </c>
      <c r="T192" t="s">
        <v>39</v>
      </c>
      <c r="U192" t="s">
        <v>39</v>
      </c>
      <c r="AA192">
        <v>-1.8371473289484973E-3</v>
      </c>
      <c r="AC192" t="s">
        <v>33</v>
      </c>
      <c r="AD192" t="s">
        <v>33</v>
      </c>
      <c r="AF192">
        <v>4.83</v>
      </c>
      <c r="AG192">
        <v>4.83</v>
      </c>
      <c r="AH192" t="s">
        <v>244</v>
      </c>
      <c r="AI192" t="s">
        <v>244</v>
      </c>
      <c r="AJ192">
        <v>-3.0950796461395001E-3</v>
      </c>
      <c r="AK192">
        <v>0</v>
      </c>
      <c r="AL192">
        <v>3.0950796461395001E-3</v>
      </c>
      <c r="AN192" t="s">
        <v>33</v>
      </c>
      <c r="AO192" t="s">
        <v>33</v>
      </c>
    </row>
    <row r="193" spans="1:43" x14ac:dyDescent="0.2">
      <c r="A193">
        <v>191</v>
      </c>
      <c r="B193">
        <v>95</v>
      </c>
      <c r="C193">
        <v>6</v>
      </c>
      <c r="D193">
        <v>44500</v>
      </c>
      <c r="E193" t="s">
        <v>363</v>
      </c>
      <c r="F193" t="s">
        <v>29</v>
      </c>
      <c r="G193" t="s">
        <v>364</v>
      </c>
      <c r="H193">
        <v>2.1515422659226627E-2</v>
      </c>
      <c r="I193">
        <v>-2.5528788306529066E-5</v>
      </c>
      <c r="J193">
        <v>1.8</v>
      </c>
      <c r="K193">
        <v>1.8008008133727</v>
      </c>
      <c r="L193" s="1">
        <v>44377</v>
      </c>
      <c r="M193" s="1">
        <v>43165</v>
      </c>
      <c r="N193" s="1">
        <v>43164</v>
      </c>
      <c r="R193">
        <v>-2.8093124561633931E-3</v>
      </c>
      <c r="S193">
        <v>-2.8093124561633931E-3</v>
      </c>
      <c r="T193" t="s">
        <v>32</v>
      </c>
      <c r="U193" t="s">
        <v>32</v>
      </c>
      <c r="V193">
        <v>745222415</v>
      </c>
      <c r="W193" t="s">
        <v>365</v>
      </c>
      <c r="X193" t="s">
        <v>366</v>
      </c>
      <c r="Y193">
        <v>44500</v>
      </c>
      <c r="Z193" t="s">
        <v>31</v>
      </c>
      <c r="AA193">
        <v>-1.8650595723153272E-2</v>
      </c>
      <c r="AB193">
        <v>102.17</v>
      </c>
      <c r="AC193" t="s">
        <v>42</v>
      </c>
      <c r="AD193" t="s">
        <v>42</v>
      </c>
      <c r="AE193" t="s">
        <v>167</v>
      </c>
      <c r="AF193">
        <v>8.2214849139223278E-2</v>
      </c>
      <c r="AG193">
        <v>1.7</v>
      </c>
      <c r="AH193" t="s">
        <v>244</v>
      </c>
      <c r="AI193" t="s">
        <v>244</v>
      </c>
      <c r="AJ193">
        <v>9.087201478967237E-3</v>
      </c>
      <c r="AK193">
        <v>1.1953012588459237E-2</v>
      </c>
      <c r="AL193">
        <v>2.8658111094920003E-3</v>
      </c>
      <c r="AM193" t="s">
        <v>167</v>
      </c>
      <c r="AN193" t="s">
        <v>138</v>
      </c>
      <c r="AO193" t="s">
        <v>42</v>
      </c>
      <c r="AP193" t="s">
        <v>31</v>
      </c>
      <c r="AQ193">
        <v>9.8271512671941285E-4</v>
      </c>
    </row>
    <row r="194" spans="1:43" x14ac:dyDescent="0.2">
      <c r="A194">
        <v>192</v>
      </c>
      <c r="B194">
        <v>102</v>
      </c>
      <c r="C194">
        <v>6</v>
      </c>
      <c r="F194" t="s">
        <v>29</v>
      </c>
      <c r="G194" t="s">
        <v>635</v>
      </c>
      <c r="I194">
        <v>1.0977218950788378E-6</v>
      </c>
      <c r="J194">
        <v>5.8188237064399004</v>
      </c>
      <c r="K194">
        <v>5.8188237064399004</v>
      </c>
      <c r="L194" s="1"/>
      <c r="M194" s="1"/>
      <c r="N194" s="1">
        <v>43164</v>
      </c>
      <c r="R194">
        <v>-1.8407209487297778E-3</v>
      </c>
      <c r="S194">
        <v>-1.8407209487297778E-3</v>
      </c>
      <c r="T194" t="s">
        <v>32</v>
      </c>
      <c r="U194" t="s">
        <v>32</v>
      </c>
      <c r="AA194">
        <v>8.0196392542191287E-4</v>
      </c>
      <c r="AC194" t="s">
        <v>33</v>
      </c>
      <c r="AD194" t="s">
        <v>33</v>
      </c>
      <c r="AF194">
        <v>2.04</v>
      </c>
      <c r="AG194">
        <v>2.04</v>
      </c>
      <c r="AH194" t="s">
        <v>244</v>
      </c>
      <c r="AI194" t="s">
        <v>244</v>
      </c>
      <c r="AJ194">
        <v>-5.9635432292783996E-4</v>
      </c>
      <c r="AK194">
        <v>0</v>
      </c>
      <c r="AL194">
        <v>5.9635432292783996E-4</v>
      </c>
      <c r="AN194" t="s">
        <v>33</v>
      </c>
      <c r="AO194" t="s">
        <v>33</v>
      </c>
    </row>
    <row r="195" spans="1:43" x14ac:dyDescent="0.2">
      <c r="A195">
        <v>193</v>
      </c>
      <c r="B195">
        <v>104</v>
      </c>
      <c r="C195">
        <v>6</v>
      </c>
      <c r="D195">
        <v>200000000</v>
      </c>
      <c r="E195" t="s">
        <v>427</v>
      </c>
      <c r="F195" t="s">
        <v>29</v>
      </c>
      <c r="G195" t="s">
        <v>428</v>
      </c>
      <c r="H195">
        <v>3.2981559589382327E-3</v>
      </c>
      <c r="I195">
        <v>9.0220096132100321E-8</v>
      </c>
      <c r="J195">
        <v>0.98</v>
      </c>
      <c r="K195">
        <v>0.98449316311815005</v>
      </c>
      <c r="L195" s="1">
        <v>43538</v>
      </c>
      <c r="M195" s="1">
        <v>43165</v>
      </c>
      <c r="N195" s="1">
        <v>43164</v>
      </c>
      <c r="R195">
        <v>4.8543139737796264E-5</v>
      </c>
      <c r="S195">
        <v>4.8543139737796264E-5</v>
      </c>
      <c r="T195" t="s">
        <v>39</v>
      </c>
      <c r="U195" t="s">
        <v>39</v>
      </c>
      <c r="V195">
        <v>209823267</v>
      </c>
      <c r="W195" t="s">
        <v>429</v>
      </c>
      <c r="X195" t="s">
        <v>430</v>
      </c>
      <c r="Y195">
        <v>200000000</v>
      </c>
      <c r="Z195" t="s">
        <v>31</v>
      </c>
      <c r="AA195">
        <v>6.5912197588848442E-5</v>
      </c>
      <c r="AB195">
        <v>102.16</v>
      </c>
      <c r="AC195" t="s">
        <v>33</v>
      </c>
      <c r="AD195" t="s">
        <v>33</v>
      </c>
      <c r="AE195" t="s">
        <v>43</v>
      </c>
      <c r="AF195">
        <v>3.49E-2</v>
      </c>
      <c r="AG195">
        <v>3.5</v>
      </c>
      <c r="AH195" t="s">
        <v>244</v>
      </c>
      <c r="AI195" t="s">
        <v>244</v>
      </c>
      <c r="AJ195">
        <v>1.8585550217686863E-3</v>
      </c>
      <c r="AK195">
        <v>3.3654652642226865E-3</v>
      </c>
      <c r="AL195">
        <v>1.5069102424540002E-3</v>
      </c>
      <c r="AM195" t="s">
        <v>43</v>
      </c>
      <c r="AN195" t="s">
        <v>144</v>
      </c>
      <c r="AO195" t="s">
        <v>33</v>
      </c>
      <c r="AP195" t="s">
        <v>31</v>
      </c>
      <c r="AQ195">
        <v>1.1745473772137176E-4</v>
      </c>
    </row>
    <row r="196" spans="1:43" x14ac:dyDescent="0.2">
      <c r="A196">
        <v>194</v>
      </c>
      <c r="B196">
        <v>110</v>
      </c>
      <c r="C196">
        <v>6</v>
      </c>
      <c r="F196" t="s">
        <v>29</v>
      </c>
      <c r="G196" t="s">
        <v>636</v>
      </c>
      <c r="I196">
        <v>-1.3397086627126416E-6</v>
      </c>
      <c r="J196">
        <v>3.4184489217517</v>
      </c>
      <c r="K196">
        <v>3.4184489217517</v>
      </c>
      <c r="L196" s="1"/>
      <c r="M196" s="1"/>
      <c r="N196" s="1">
        <v>43164</v>
      </c>
      <c r="R196">
        <v>8.9476952919579559E-4</v>
      </c>
      <c r="S196">
        <v>8.9476952919579559E-4</v>
      </c>
      <c r="T196" t="s">
        <v>39</v>
      </c>
      <c r="U196" t="s">
        <v>39</v>
      </c>
      <c r="AA196">
        <v>-9.7875247172108997E-4</v>
      </c>
      <c r="AC196" t="s">
        <v>33</v>
      </c>
      <c r="AD196" t="s">
        <v>33</v>
      </c>
      <c r="AF196">
        <v>4.5199999999999996</v>
      </c>
      <c r="AG196">
        <v>4.5199999999999996</v>
      </c>
      <c r="AH196" t="s">
        <v>244</v>
      </c>
      <c r="AI196" t="s">
        <v>244</v>
      </c>
      <c r="AJ196">
        <v>-1.4972667474682001E-3</v>
      </c>
      <c r="AK196">
        <v>0</v>
      </c>
      <c r="AL196">
        <v>1.4972667474682001E-3</v>
      </c>
      <c r="AN196" t="s">
        <v>33</v>
      </c>
      <c r="AO196" t="s">
        <v>33</v>
      </c>
    </row>
    <row r="197" spans="1:43" x14ac:dyDescent="0.2">
      <c r="A197">
        <v>195</v>
      </c>
      <c r="B197">
        <v>93</v>
      </c>
      <c r="C197">
        <v>6</v>
      </c>
      <c r="D197">
        <v>7000</v>
      </c>
      <c r="E197" t="s">
        <v>266</v>
      </c>
      <c r="F197" t="s">
        <v>29</v>
      </c>
      <c r="G197" t="s">
        <v>340</v>
      </c>
      <c r="H197">
        <v>4.2258198958288758E-4</v>
      </c>
      <c r="I197">
        <v>-1.3373439312165271E-6</v>
      </c>
      <c r="J197">
        <v>0.41</v>
      </c>
      <c r="K197">
        <v>0.41640278106862999</v>
      </c>
      <c r="L197" s="1">
        <v>43409</v>
      </c>
      <c r="M197" s="1">
        <v>43165</v>
      </c>
      <c r="N197" s="1">
        <v>43164</v>
      </c>
      <c r="R197">
        <v>-2.1922679503766566E-3</v>
      </c>
      <c r="S197">
        <v>-2.1922679503766566E-3</v>
      </c>
      <c r="T197" t="s">
        <v>32</v>
      </c>
      <c r="U197" t="s">
        <v>32</v>
      </c>
      <c r="V197">
        <v>64259251</v>
      </c>
      <c r="W197" t="s">
        <v>267</v>
      </c>
      <c r="X197" t="s">
        <v>341</v>
      </c>
      <c r="Y197">
        <v>7000</v>
      </c>
      <c r="Z197" t="s">
        <v>31</v>
      </c>
      <c r="AA197">
        <v>-9.7702486715959365E-4</v>
      </c>
      <c r="AB197">
        <v>101.01</v>
      </c>
      <c r="AC197" t="s">
        <v>34</v>
      </c>
      <c r="AD197" t="s">
        <v>34</v>
      </c>
      <c r="AE197" t="s">
        <v>35</v>
      </c>
      <c r="AF197">
        <v>7.5114849139223283E-2</v>
      </c>
      <c r="AG197">
        <v>1.02</v>
      </c>
      <c r="AH197" t="s">
        <v>244</v>
      </c>
      <c r="AI197" t="s">
        <v>244</v>
      </c>
      <c r="AJ197">
        <v>6.1002758854671762E-4</v>
      </c>
      <c r="AK197">
        <v>1.0306877794704575E-3</v>
      </c>
      <c r="AL197">
        <v>4.2066019092373998E-4</v>
      </c>
      <c r="AM197" t="s">
        <v>35</v>
      </c>
      <c r="AN197" t="s">
        <v>50</v>
      </c>
      <c r="AO197" t="s">
        <v>34</v>
      </c>
      <c r="AP197" t="s">
        <v>31</v>
      </c>
      <c r="AQ197">
        <v>7.7419957064564453E-5</v>
      </c>
    </row>
    <row r="198" spans="1:43" x14ac:dyDescent="0.2">
      <c r="A198">
        <v>196</v>
      </c>
      <c r="B198">
        <v>96</v>
      </c>
      <c r="C198">
        <v>6</v>
      </c>
      <c r="F198" t="s">
        <v>29</v>
      </c>
      <c r="G198" t="s">
        <v>384</v>
      </c>
      <c r="I198">
        <v>1.6952443093911465E-6</v>
      </c>
      <c r="J198">
        <v>1.4734876318054</v>
      </c>
      <c r="K198">
        <v>1.4734876318054</v>
      </c>
      <c r="L198" s="1"/>
      <c r="M198" s="1"/>
      <c r="N198" s="1">
        <v>43164</v>
      </c>
      <c r="R198">
        <v>-2.4313878536657216E-3</v>
      </c>
      <c r="S198">
        <v>-2.4313878536657216E-3</v>
      </c>
      <c r="T198" t="s">
        <v>32</v>
      </c>
      <c r="U198" t="s">
        <v>32</v>
      </c>
      <c r="W198" t="s">
        <v>267</v>
      </c>
      <c r="Z198" t="s">
        <v>31</v>
      </c>
      <c r="AA198">
        <v>1.2384965509054033E-3</v>
      </c>
      <c r="AC198" t="s">
        <v>34</v>
      </c>
      <c r="AD198" t="s">
        <v>34</v>
      </c>
      <c r="AE198" t="s">
        <v>35</v>
      </c>
      <c r="AF198">
        <v>1.43</v>
      </c>
      <c r="AG198">
        <v>1.43</v>
      </c>
      <c r="AH198" t="s">
        <v>244</v>
      </c>
      <c r="AI198" t="s">
        <v>244</v>
      </c>
      <c r="AJ198">
        <v>-6.9723319002161E-4</v>
      </c>
      <c r="AK198">
        <v>0</v>
      </c>
      <c r="AL198">
        <v>6.9723319002161E-4</v>
      </c>
      <c r="AM198" t="s">
        <v>35</v>
      </c>
      <c r="AN198" t="s">
        <v>34</v>
      </c>
      <c r="AO198" t="s">
        <v>34</v>
      </c>
      <c r="AP198" t="s">
        <v>31</v>
      </c>
    </row>
    <row r="199" spans="1:43" x14ac:dyDescent="0.2">
      <c r="A199">
        <v>197</v>
      </c>
      <c r="B199">
        <v>99</v>
      </c>
      <c r="C199">
        <v>6</v>
      </c>
      <c r="F199" t="s">
        <v>29</v>
      </c>
      <c r="G199" t="s">
        <v>637</v>
      </c>
      <c r="I199">
        <v>2.7337495955107026E-6</v>
      </c>
      <c r="J199">
        <v>3.2508790657948001</v>
      </c>
      <c r="K199">
        <v>3.2508790657948001</v>
      </c>
      <c r="L199" s="1"/>
      <c r="M199" s="1"/>
      <c r="N199" s="1">
        <v>43164</v>
      </c>
      <c r="R199">
        <v>-2.4229989783995497E-3</v>
      </c>
      <c r="S199">
        <v>-2.4229989783995497E-3</v>
      </c>
      <c r="T199" t="s">
        <v>32</v>
      </c>
      <c r="U199" t="s">
        <v>32</v>
      </c>
      <c r="W199" t="s">
        <v>269</v>
      </c>
      <c r="Z199" t="s">
        <v>31</v>
      </c>
      <c r="AA199">
        <v>1.9971985313993169E-3</v>
      </c>
      <c r="AC199" t="s">
        <v>34</v>
      </c>
      <c r="AD199" t="s">
        <v>34</v>
      </c>
      <c r="AE199" t="s">
        <v>168</v>
      </c>
      <c r="AF199">
        <v>1.7</v>
      </c>
      <c r="AG199">
        <v>1.7</v>
      </c>
      <c r="AH199" t="s">
        <v>244</v>
      </c>
      <c r="AI199" t="s">
        <v>244</v>
      </c>
      <c r="AJ199">
        <v>-1.1282504119405001E-3</v>
      </c>
      <c r="AK199">
        <v>0</v>
      </c>
      <c r="AL199">
        <v>1.1282504119405001E-3</v>
      </c>
      <c r="AM199" t="s">
        <v>168</v>
      </c>
      <c r="AN199" t="s">
        <v>34</v>
      </c>
      <c r="AO199" t="s">
        <v>34</v>
      </c>
      <c r="AP199" t="s">
        <v>31</v>
      </c>
    </row>
    <row r="200" spans="1:43" x14ac:dyDescent="0.2">
      <c r="A200">
        <v>198</v>
      </c>
      <c r="B200">
        <v>102</v>
      </c>
      <c r="C200">
        <v>6</v>
      </c>
      <c r="D200">
        <v>9500</v>
      </c>
      <c r="E200" t="s">
        <v>268</v>
      </c>
      <c r="F200" t="s">
        <v>29</v>
      </c>
      <c r="G200" t="s">
        <v>638</v>
      </c>
      <c r="H200">
        <v>2.5778222008166023E-2</v>
      </c>
      <c r="I200">
        <v>-3.9055293776003467E-6</v>
      </c>
      <c r="J200">
        <v>6.05</v>
      </c>
      <c r="K200">
        <v>6.0575017214180997</v>
      </c>
      <c r="L200" s="1">
        <v>45580</v>
      </c>
      <c r="M200" s="1">
        <v>43165</v>
      </c>
      <c r="N200" s="1">
        <v>43164</v>
      </c>
      <c r="R200">
        <v>-1.8407209487297778E-3</v>
      </c>
      <c r="S200">
        <v>-1.8407209487297778E-3</v>
      </c>
      <c r="T200" t="s">
        <v>32</v>
      </c>
      <c r="U200" t="s">
        <v>32</v>
      </c>
      <c r="V200">
        <v>265647735</v>
      </c>
      <c r="W200" t="s">
        <v>269</v>
      </c>
      <c r="X200" t="s">
        <v>639</v>
      </c>
      <c r="Y200">
        <v>9500</v>
      </c>
      <c r="Z200" t="s">
        <v>31</v>
      </c>
      <c r="AA200">
        <v>-2.8532670110274416E-3</v>
      </c>
      <c r="AB200">
        <v>102.68</v>
      </c>
      <c r="AC200" t="s">
        <v>34</v>
      </c>
      <c r="AD200" t="s">
        <v>34</v>
      </c>
      <c r="AE200" t="s">
        <v>168</v>
      </c>
      <c r="AF200">
        <v>8.7514849139223277E-2</v>
      </c>
      <c r="AG200">
        <v>2.23</v>
      </c>
      <c r="AH200" t="s">
        <v>244</v>
      </c>
      <c r="AI200" t="s">
        <v>244</v>
      </c>
      <c r="AJ200">
        <v>2.1217389742293241E-3</v>
      </c>
      <c r="AK200">
        <v>4.2608631418456239E-3</v>
      </c>
      <c r="AL200">
        <v>2.1391241676162998E-3</v>
      </c>
      <c r="AM200" t="s">
        <v>168</v>
      </c>
      <c r="AN200" t="s">
        <v>50</v>
      </c>
      <c r="AO200" t="s">
        <v>34</v>
      </c>
      <c r="AP200" t="s">
        <v>31</v>
      </c>
      <c r="AQ200">
        <v>3.7288879506149671E-4</v>
      </c>
    </row>
    <row r="201" spans="1:43" x14ac:dyDescent="0.2">
      <c r="A201">
        <v>199</v>
      </c>
      <c r="B201">
        <v>110</v>
      </c>
      <c r="C201">
        <v>6</v>
      </c>
      <c r="D201">
        <v>500000000</v>
      </c>
      <c r="E201" t="s">
        <v>268</v>
      </c>
      <c r="F201" t="s">
        <v>29</v>
      </c>
      <c r="G201" t="s">
        <v>640</v>
      </c>
      <c r="H201">
        <v>3.1589374006982522E-2</v>
      </c>
      <c r="I201">
        <v>5.4951500725064686E-6</v>
      </c>
      <c r="J201">
        <v>3.83</v>
      </c>
      <c r="K201">
        <v>3.8334834537411</v>
      </c>
      <c r="L201" s="1">
        <v>45184</v>
      </c>
      <c r="M201" s="1">
        <v>43165</v>
      </c>
      <c r="N201" s="1">
        <v>43164</v>
      </c>
      <c r="R201">
        <v>8.9476952919579559E-4</v>
      </c>
      <c r="S201">
        <v>8.9476952919579559E-4</v>
      </c>
      <c r="T201" t="s">
        <v>39</v>
      </c>
      <c r="U201" t="s">
        <v>39</v>
      </c>
      <c r="V201">
        <v>514222148</v>
      </c>
      <c r="W201" t="s">
        <v>269</v>
      </c>
      <c r="X201" t="s">
        <v>641</v>
      </c>
      <c r="Y201">
        <v>500000000</v>
      </c>
      <c r="Z201" t="s">
        <v>31</v>
      </c>
      <c r="AA201">
        <v>4.0145979985334035E-3</v>
      </c>
      <c r="AB201">
        <v>100.62</v>
      </c>
      <c r="AC201" t="s">
        <v>34</v>
      </c>
      <c r="AD201" t="s">
        <v>34</v>
      </c>
      <c r="AE201" t="s">
        <v>168</v>
      </c>
      <c r="AF201">
        <v>4.58E-2</v>
      </c>
      <c r="AG201">
        <v>4.58</v>
      </c>
      <c r="AH201" t="s">
        <v>244</v>
      </c>
      <c r="AI201" t="s">
        <v>244</v>
      </c>
      <c r="AJ201">
        <v>6.1414139543234346E-3</v>
      </c>
      <c r="AK201">
        <v>8.2478783308048351E-3</v>
      </c>
      <c r="AL201">
        <v>2.1064643764814E-3</v>
      </c>
      <c r="AM201" t="s">
        <v>168</v>
      </c>
      <c r="AN201" t="s">
        <v>50</v>
      </c>
      <c r="AO201" t="s">
        <v>34</v>
      </c>
      <c r="AP201" t="s">
        <v>31</v>
      </c>
      <c r="AQ201">
        <v>3.7775282755086147E-4</v>
      </c>
    </row>
    <row r="202" spans="1:43" x14ac:dyDescent="0.2">
      <c r="A202">
        <v>200</v>
      </c>
      <c r="B202">
        <v>110</v>
      </c>
      <c r="C202">
        <v>6</v>
      </c>
      <c r="F202" t="s">
        <v>29</v>
      </c>
      <c r="G202" t="s">
        <v>642</v>
      </c>
      <c r="I202">
        <v>-7.4892453154743642E-7</v>
      </c>
      <c r="J202">
        <v>3.0082846647363999</v>
      </c>
      <c r="K202">
        <v>3.0082846647363999</v>
      </c>
      <c r="L202" s="1"/>
      <c r="M202" s="1"/>
      <c r="N202" s="1">
        <v>43164</v>
      </c>
      <c r="R202">
        <v>8.9476952919579559E-4</v>
      </c>
      <c r="S202">
        <v>8.9476952919579559E-4</v>
      </c>
      <c r="T202" t="s">
        <v>39</v>
      </c>
      <c r="U202" t="s">
        <v>39</v>
      </c>
      <c r="W202" t="s">
        <v>274</v>
      </c>
      <c r="Z202" t="s">
        <v>31</v>
      </c>
      <c r="AA202">
        <v>-5.4714264137130462E-4</v>
      </c>
      <c r="AC202" t="s">
        <v>36</v>
      </c>
      <c r="AD202" t="s">
        <v>36</v>
      </c>
      <c r="AE202" t="s">
        <v>38</v>
      </c>
      <c r="AF202">
        <v>4.43</v>
      </c>
      <c r="AG202">
        <v>4.43</v>
      </c>
      <c r="AH202" t="s">
        <v>244</v>
      </c>
      <c r="AI202" t="s">
        <v>244</v>
      </c>
      <c r="AJ202">
        <v>-8.3700272205353002E-4</v>
      </c>
      <c r="AK202">
        <v>0</v>
      </c>
      <c r="AL202">
        <v>8.3700272205353002E-4</v>
      </c>
      <c r="AM202" t="s">
        <v>38</v>
      </c>
      <c r="AN202" t="s">
        <v>36</v>
      </c>
      <c r="AO202" t="s">
        <v>36</v>
      </c>
      <c r="AP202" t="s">
        <v>31</v>
      </c>
    </row>
    <row r="203" spans="1:43" x14ac:dyDescent="0.2">
      <c r="A203">
        <v>201</v>
      </c>
      <c r="B203">
        <v>110</v>
      </c>
      <c r="C203">
        <v>6</v>
      </c>
      <c r="F203" t="s">
        <v>29</v>
      </c>
      <c r="G203" t="s">
        <v>643</v>
      </c>
      <c r="I203">
        <v>-1.5105293193134601E-6</v>
      </c>
      <c r="J203">
        <v>4.2265172243697</v>
      </c>
      <c r="K203">
        <v>4.2265172243697</v>
      </c>
      <c r="L203" s="1"/>
      <c r="M203" s="1"/>
      <c r="N203" s="1">
        <v>43164</v>
      </c>
      <c r="R203">
        <v>8.9476952919579559E-4</v>
      </c>
      <c r="S203">
        <v>8.9476952919579559E-4</v>
      </c>
      <c r="T203" t="s">
        <v>39</v>
      </c>
      <c r="U203" t="s">
        <v>39</v>
      </c>
      <c r="W203" t="s">
        <v>274</v>
      </c>
      <c r="Z203" t="s">
        <v>31</v>
      </c>
      <c r="AA203">
        <v>-1.1035491118581643E-3</v>
      </c>
      <c r="AC203" t="s">
        <v>36</v>
      </c>
      <c r="AD203" t="s">
        <v>36</v>
      </c>
      <c r="AE203" t="s">
        <v>38</v>
      </c>
      <c r="AF203">
        <v>4.59</v>
      </c>
      <c r="AG203">
        <v>4.59</v>
      </c>
      <c r="AH203" t="s">
        <v>244</v>
      </c>
      <c r="AI203" t="s">
        <v>244</v>
      </c>
      <c r="AJ203">
        <v>-1.6881769774515002E-3</v>
      </c>
      <c r="AK203">
        <v>0</v>
      </c>
      <c r="AL203">
        <v>1.6881769774515002E-3</v>
      </c>
      <c r="AM203" t="s">
        <v>38</v>
      </c>
      <c r="AN203" t="s">
        <v>36</v>
      </c>
      <c r="AO203" t="s">
        <v>36</v>
      </c>
      <c r="AP203" t="s">
        <v>31</v>
      </c>
    </row>
    <row r="204" spans="1:43" x14ac:dyDescent="0.2">
      <c r="A204">
        <v>202</v>
      </c>
      <c r="B204">
        <v>102</v>
      </c>
      <c r="C204">
        <v>6</v>
      </c>
      <c r="D204">
        <v>3000</v>
      </c>
      <c r="E204" t="s">
        <v>644</v>
      </c>
      <c r="F204" t="s">
        <v>29</v>
      </c>
      <c r="G204" t="s">
        <v>645</v>
      </c>
      <c r="H204">
        <v>1.0344064015881461E-2</v>
      </c>
      <c r="I204">
        <v>-2.6779937171638369E-6</v>
      </c>
      <c r="J204">
        <v>7.11</v>
      </c>
      <c r="L204" s="1">
        <v>48075</v>
      </c>
      <c r="M204" s="1">
        <v>43165</v>
      </c>
      <c r="N204" s="1"/>
      <c r="R204">
        <v>-1.8407209487297778E-3</v>
      </c>
      <c r="T204" t="s">
        <v>32</v>
      </c>
      <c r="V204">
        <v>90704771</v>
      </c>
      <c r="W204" t="s">
        <v>646</v>
      </c>
      <c r="X204" t="s">
        <v>647</v>
      </c>
      <c r="Y204">
        <v>3000</v>
      </c>
      <c r="Z204" t="s">
        <v>31</v>
      </c>
      <c r="AA204">
        <v>-1.9564648963457973E-3</v>
      </c>
      <c r="AB204">
        <v>111.94</v>
      </c>
      <c r="AC204" t="s">
        <v>33</v>
      </c>
      <c r="AE204" t="s">
        <v>44</v>
      </c>
      <c r="AF204">
        <v>8.8414849139223289E-2</v>
      </c>
      <c r="AH204" t="s">
        <v>244</v>
      </c>
      <c r="AJ204">
        <v>1.4548613243152548E-3</v>
      </c>
      <c r="AK204">
        <v>1.4548613243152548E-3</v>
      </c>
      <c r="AL204">
        <v>0</v>
      </c>
      <c r="AN204" t="s">
        <v>144</v>
      </c>
      <c r="AQ204">
        <v>1.2863134450782386E-4</v>
      </c>
    </row>
    <row r="205" spans="1:43" x14ac:dyDescent="0.2">
      <c r="A205">
        <v>203</v>
      </c>
      <c r="B205">
        <v>102</v>
      </c>
      <c r="C205">
        <v>6</v>
      </c>
      <c r="F205" t="s">
        <v>29</v>
      </c>
      <c r="G205" t="s">
        <v>1030</v>
      </c>
      <c r="I205">
        <v>2.6534846292290209E-6</v>
      </c>
      <c r="J205">
        <v>6.9420181383181001</v>
      </c>
      <c r="K205">
        <v>6.9420181383181001</v>
      </c>
      <c r="L205" s="1"/>
      <c r="M205" s="1"/>
      <c r="N205" s="1">
        <v>43164</v>
      </c>
      <c r="R205">
        <v>-1.8407209487297778E-3</v>
      </c>
      <c r="S205">
        <v>-1.8407209487297778E-3</v>
      </c>
      <c r="T205" t="s">
        <v>32</v>
      </c>
      <c r="U205" t="s">
        <v>32</v>
      </c>
      <c r="AA205">
        <v>1.9385592642755687E-3</v>
      </c>
      <c r="AC205" t="s">
        <v>34</v>
      </c>
      <c r="AD205" t="s">
        <v>34</v>
      </c>
      <c r="AF205">
        <v>2.34</v>
      </c>
      <c r="AG205">
        <v>2.34</v>
      </c>
      <c r="AH205" t="s">
        <v>244</v>
      </c>
      <c r="AI205" t="s">
        <v>244</v>
      </c>
      <c r="AJ205">
        <v>-1.4415463848880001E-3</v>
      </c>
      <c r="AK205">
        <v>0</v>
      </c>
      <c r="AL205">
        <v>1.4415463848880001E-3</v>
      </c>
      <c r="AN205" t="s">
        <v>34</v>
      </c>
      <c r="AO205" t="s">
        <v>34</v>
      </c>
    </row>
    <row r="206" spans="1:43" x14ac:dyDescent="0.2">
      <c r="A206">
        <v>204</v>
      </c>
      <c r="B206">
        <v>102</v>
      </c>
      <c r="C206">
        <v>6</v>
      </c>
      <c r="D206">
        <v>24500</v>
      </c>
      <c r="E206" t="s">
        <v>648</v>
      </c>
      <c r="F206" t="s">
        <v>29</v>
      </c>
      <c r="G206" t="s">
        <v>649</v>
      </c>
      <c r="H206">
        <v>7.4963048258534976E-2</v>
      </c>
      <c r="I206">
        <v>-1.7895031708007236E-5</v>
      </c>
      <c r="J206">
        <v>6.81</v>
      </c>
      <c r="K206">
        <v>6.8136214293739004</v>
      </c>
      <c r="L206" s="1">
        <v>45901</v>
      </c>
      <c r="M206" s="1">
        <v>43165</v>
      </c>
      <c r="N206" s="1">
        <v>43164</v>
      </c>
      <c r="R206">
        <v>-1.8407209487297778E-3</v>
      </c>
      <c r="S206">
        <v>-1.8407209487297778E-3</v>
      </c>
      <c r="T206" t="s">
        <v>32</v>
      </c>
      <c r="U206" t="s">
        <v>32</v>
      </c>
      <c r="V206">
        <v>686291561</v>
      </c>
      <c r="W206" t="s">
        <v>648</v>
      </c>
      <c r="X206" t="s">
        <v>650</v>
      </c>
      <c r="Y206">
        <v>24500</v>
      </c>
      <c r="Z206" t="s">
        <v>31</v>
      </c>
      <c r="AA206">
        <v>-1.3073593538072217E-2</v>
      </c>
      <c r="AB206">
        <v>103.89</v>
      </c>
      <c r="AC206" t="s">
        <v>34</v>
      </c>
      <c r="AD206" t="s">
        <v>34</v>
      </c>
      <c r="AE206" t="s">
        <v>166</v>
      </c>
      <c r="AF206">
        <v>8.8214849139223284E-2</v>
      </c>
      <c r="AG206">
        <v>2.2999999999999998</v>
      </c>
      <c r="AH206" t="s">
        <v>244</v>
      </c>
      <c r="AI206" t="s">
        <v>244</v>
      </c>
      <c r="AJ206">
        <v>9.7217515345582508E-3</v>
      </c>
      <c r="AK206">
        <v>1.1007789758962551E-2</v>
      </c>
      <c r="AL206">
        <v>1.2860382244043E-3</v>
      </c>
      <c r="AM206" t="s">
        <v>166</v>
      </c>
      <c r="AN206" t="s">
        <v>50</v>
      </c>
      <c r="AO206" t="s">
        <v>34</v>
      </c>
      <c r="AP206" t="s">
        <v>31</v>
      </c>
      <c r="AQ206">
        <v>9.7105051294316851E-4</v>
      </c>
    </row>
    <row r="207" spans="1:43" x14ac:dyDescent="0.2">
      <c r="A207">
        <v>205</v>
      </c>
      <c r="B207">
        <v>93</v>
      </c>
      <c r="C207">
        <v>6</v>
      </c>
      <c r="F207" t="s">
        <v>29</v>
      </c>
      <c r="G207" t="s">
        <v>343</v>
      </c>
      <c r="I207">
        <v>1.8246326670571071E-5</v>
      </c>
      <c r="J207">
        <v>0.84663139953665001</v>
      </c>
      <c r="K207">
        <v>0.84663139953665001</v>
      </c>
      <c r="L207" s="1"/>
      <c r="M207" s="1"/>
      <c r="N207" s="1">
        <v>43164</v>
      </c>
      <c r="R207">
        <v>-2.1922679503766566E-3</v>
      </c>
      <c r="S207">
        <v>-2.1922679503766566E-3</v>
      </c>
      <c r="T207" t="s">
        <v>32</v>
      </c>
      <c r="U207" t="s">
        <v>32</v>
      </c>
      <c r="W207" t="s">
        <v>342</v>
      </c>
      <c r="Z207" t="s">
        <v>31</v>
      </c>
      <c r="AA207">
        <v>1.3330239495870484E-2</v>
      </c>
      <c r="AC207" t="s">
        <v>36</v>
      </c>
      <c r="AD207" t="s">
        <v>36</v>
      </c>
      <c r="AE207" t="s">
        <v>166</v>
      </c>
      <c r="AF207">
        <v>0.94</v>
      </c>
      <c r="AG207">
        <v>0.94</v>
      </c>
      <c r="AH207" t="s">
        <v>244</v>
      </c>
      <c r="AI207" t="s">
        <v>244</v>
      </c>
      <c r="AJ207">
        <v>-8.3230367288981005E-3</v>
      </c>
      <c r="AK207">
        <v>0</v>
      </c>
      <c r="AL207">
        <v>8.3230367288981005E-3</v>
      </c>
      <c r="AM207" t="s">
        <v>166</v>
      </c>
      <c r="AN207" t="s">
        <v>36</v>
      </c>
      <c r="AO207" t="s">
        <v>36</v>
      </c>
      <c r="AP207" t="s">
        <v>31</v>
      </c>
    </row>
    <row r="208" spans="1:43" x14ac:dyDescent="0.2">
      <c r="A208">
        <v>206</v>
      </c>
      <c r="B208">
        <v>99</v>
      </c>
      <c r="C208">
        <v>6</v>
      </c>
      <c r="D208">
        <v>20000</v>
      </c>
      <c r="E208" t="s">
        <v>653</v>
      </c>
      <c r="F208" t="s">
        <v>29</v>
      </c>
      <c r="G208" t="s">
        <v>651</v>
      </c>
      <c r="H208">
        <v>3.0067981699440711E-2</v>
      </c>
      <c r="I208">
        <v>-9.3667892102473263E-6</v>
      </c>
      <c r="J208">
        <v>4.8099999999999996</v>
      </c>
      <c r="K208">
        <v>4.8135570704677004</v>
      </c>
      <c r="L208" s="1">
        <v>47041</v>
      </c>
      <c r="M208" s="1">
        <v>43165</v>
      </c>
      <c r="N208" s="1">
        <v>43164</v>
      </c>
      <c r="R208">
        <v>-2.4229989783995497E-3</v>
      </c>
      <c r="S208">
        <v>-2.4229989783995497E-3</v>
      </c>
      <c r="T208" t="s">
        <v>32</v>
      </c>
      <c r="U208" t="s">
        <v>32</v>
      </c>
      <c r="V208">
        <v>389733496</v>
      </c>
      <c r="W208" t="s">
        <v>652</v>
      </c>
      <c r="X208" t="s">
        <v>655</v>
      </c>
      <c r="Y208">
        <v>20000</v>
      </c>
      <c r="Z208" t="s">
        <v>31</v>
      </c>
      <c r="AA208">
        <v>-6.8431057787273798E-3</v>
      </c>
      <c r="AB208">
        <v>120.93</v>
      </c>
      <c r="AC208" t="s">
        <v>33</v>
      </c>
      <c r="AD208" t="s">
        <v>33</v>
      </c>
      <c r="AE208" t="s">
        <v>166</v>
      </c>
      <c r="AF208">
        <v>8.4014849139223288E-2</v>
      </c>
      <c r="AG208">
        <v>1.88</v>
      </c>
      <c r="AH208" t="s">
        <v>244</v>
      </c>
      <c r="AI208" t="s">
        <v>244</v>
      </c>
      <c r="AJ208">
        <v>3.8657833922960709E-3</v>
      </c>
      <c r="AK208">
        <v>6.251139646453371E-3</v>
      </c>
      <c r="AL208">
        <v>2.3853562541573002E-3</v>
      </c>
      <c r="AM208" t="s">
        <v>166</v>
      </c>
      <c r="AN208" t="s">
        <v>144</v>
      </c>
      <c r="AO208" t="s">
        <v>33</v>
      </c>
      <c r="AP208" t="s">
        <v>31</v>
      </c>
      <c r="AQ208">
        <v>5.2518855434499753E-4</v>
      </c>
    </row>
    <row r="209" spans="1:43" x14ac:dyDescent="0.2">
      <c r="A209">
        <v>207</v>
      </c>
      <c r="B209">
        <v>102</v>
      </c>
      <c r="C209">
        <v>6</v>
      </c>
      <c r="D209">
        <v>18000</v>
      </c>
      <c r="E209" t="s">
        <v>653</v>
      </c>
      <c r="F209" t="s">
        <v>29</v>
      </c>
      <c r="G209" t="s">
        <v>654</v>
      </c>
      <c r="H209">
        <v>5.1910237129794361E-2</v>
      </c>
      <c r="I209">
        <v>9.8628009188302494E-7</v>
      </c>
      <c r="J209">
        <v>5.73</v>
      </c>
      <c r="K209">
        <v>5.7387180780021003</v>
      </c>
      <c r="L209" s="1">
        <v>47467</v>
      </c>
      <c r="M209" s="1">
        <v>43165</v>
      </c>
      <c r="N209" s="1">
        <v>43164</v>
      </c>
      <c r="R209">
        <v>-1.8407209487297778E-3</v>
      </c>
      <c r="S209">
        <v>-1.8407209487297778E-3</v>
      </c>
      <c r="T209" t="s">
        <v>32</v>
      </c>
      <c r="U209" t="s">
        <v>32</v>
      </c>
      <c r="V209">
        <v>564815912</v>
      </c>
      <c r="W209" t="s">
        <v>652</v>
      </c>
      <c r="X209" t="s">
        <v>655</v>
      </c>
      <c r="Y209">
        <v>18000</v>
      </c>
      <c r="Z209" t="s">
        <v>31</v>
      </c>
      <c r="AA209">
        <v>7.205477613209029E-4</v>
      </c>
      <c r="AB209">
        <v>115.22</v>
      </c>
      <c r="AC209" t="s">
        <v>33</v>
      </c>
      <c r="AD209" t="s">
        <v>33</v>
      </c>
      <c r="AE209" t="s">
        <v>166</v>
      </c>
      <c r="AF209">
        <v>8.6314849139223285E-2</v>
      </c>
      <c r="AG209">
        <v>2.12</v>
      </c>
      <c r="AH209" t="s">
        <v>244</v>
      </c>
      <c r="AI209" t="s">
        <v>244</v>
      </c>
      <c r="AJ209">
        <v>-5.3581184728930531E-4</v>
      </c>
      <c r="AK209">
        <v>9.0593782076429947E-3</v>
      </c>
      <c r="AL209">
        <v>9.5951900549323E-3</v>
      </c>
      <c r="AM209" t="s">
        <v>166</v>
      </c>
      <c r="AN209" t="s">
        <v>144</v>
      </c>
      <c r="AO209" t="s">
        <v>33</v>
      </c>
      <c r="AP209" t="s">
        <v>31</v>
      </c>
      <c r="AQ209">
        <v>7.8195886328787209E-4</v>
      </c>
    </row>
    <row r="210" spans="1:43" x14ac:dyDescent="0.2">
      <c r="A210">
        <v>208</v>
      </c>
      <c r="B210">
        <v>96</v>
      </c>
      <c r="C210">
        <v>6</v>
      </c>
      <c r="D210">
        <v>11000</v>
      </c>
      <c r="E210" t="s">
        <v>387</v>
      </c>
      <c r="F210" t="s">
        <v>29</v>
      </c>
      <c r="G210" t="s">
        <v>388</v>
      </c>
      <c r="H210">
        <v>8.4459673274872044E-3</v>
      </c>
      <c r="I210">
        <v>-5.4300011097175133E-6</v>
      </c>
      <c r="J210">
        <v>2.8</v>
      </c>
      <c r="K210">
        <v>2.8003776483123</v>
      </c>
      <c r="L210" s="1">
        <v>45245</v>
      </c>
      <c r="M210" s="1">
        <v>43165</v>
      </c>
      <c r="N210" s="1">
        <v>43164</v>
      </c>
      <c r="R210">
        <v>-2.4313878536657216E-3</v>
      </c>
      <c r="S210">
        <v>-2.4313878536657216E-3</v>
      </c>
      <c r="T210" t="s">
        <v>32</v>
      </c>
      <c r="U210" t="s">
        <v>32</v>
      </c>
      <c r="V210">
        <v>188061501</v>
      </c>
      <c r="W210" t="s">
        <v>389</v>
      </c>
      <c r="X210" t="s">
        <v>390</v>
      </c>
      <c r="Y210">
        <v>11000</v>
      </c>
      <c r="Z210" t="s">
        <v>31</v>
      </c>
      <c r="AA210">
        <v>-3.9670020471639133E-3</v>
      </c>
      <c r="AB210">
        <v>104.61</v>
      </c>
      <c r="AC210" t="s">
        <v>33</v>
      </c>
      <c r="AD210" t="s">
        <v>33</v>
      </c>
      <c r="AE210" t="s">
        <v>169</v>
      </c>
      <c r="AF210">
        <v>8.3314849139223282E-2</v>
      </c>
      <c r="AG210">
        <v>1.87</v>
      </c>
      <c r="AH210" t="s">
        <v>244</v>
      </c>
      <c r="AI210" t="s">
        <v>244</v>
      </c>
      <c r="AJ210">
        <v>2.2332928502258017E-3</v>
      </c>
      <c r="AK210">
        <v>3.0164169026740016E-3</v>
      </c>
      <c r="AL210">
        <v>7.8312405244820003E-4</v>
      </c>
      <c r="AM210" t="s">
        <v>169</v>
      </c>
      <c r="AN210" t="s">
        <v>144</v>
      </c>
      <c r="AO210" t="s">
        <v>33</v>
      </c>
      <c r="AP210" t="s">
        <v>31</v>
      </c>
      <c r="AQ210">
        <v>2.5131231918728761E-4</v>
      </c>
    </row>
    <row r="211" spans="1:43" x14ac:dyDescent="0.2">
      <c r="A211">
        <v>209</v>
      </c>
      <c r="B211">
        <v>99</v>
      </c>
      <c r="C211">
        <v>6</v>
      </c>
      <c r="D211">
        <v>10000</v>
      </c>
      <c r="E211" t="s">
        <v>656</v>
      </c>
      <c r="F211" t="s">
        <v>29</v>
      </c>
      <c r="G211" t="s">
        <v>657</v>
      </c>
      <c r="H211">
        <v>1.3401382415187377E-2</v>
      </c>
      <c r="I211">
        <v>-4.0520502786579506E-6</v>
      </c>
      <c r="J211">
        <v>4.6500000000000004</v>
      </c>
      <c r="K211">
        <v>4.6602641541505996</v>
      </c>
      <c r="L211" s="1">
        <v>46905</v>
      </c>
      <c r="M211" s="1">
        <v>43165</v>
      </c>
      <c r="N211" s="1">
        <v>43164</v>
      </c>
      <c r="R211">
        <v>-2.4229989783995497E-3</v>
      </c>
      <c r="S211">
        <v>-2.4229989783995497E-3</v>
      </c>
      <c r="T211" t="s">
        <v>32</v>
      </c>
      <c r="U211" t="s">
        <v>32</v>
      </c>
      <c r="V211">
        <v>179682251</v>
      </c>
      <c r="W211" t="s">
        <v>658</v>
      </c>
      <c r="X211" t="s">
        <v>659</v>
      </c>
      <c r="Y211">
        <v>10000</v>
      </c>
      <c r="Z211" t="s">
        <v>31</v>
      </c>
      <c r="AA211">
        <v>-2.9603109512961858E-3</v>
      </c>
      <c r="AB211">
        <v>118.81</v>
      </c>
      <c r="AC211" t="s">
        <v>36</v>
      </c>
      <c r="AD211" t="s">
        <v>36</v>
      </c>
      <c r="AE211" t="s">
        <v>169</v>
      </c>
      <c r="AF211">
        <v>8.5014849139223289E-2</v>
      </c>
      <c r="AG211">
        <v>1.98</v>
      </c>
      <c r="AH211" t="s">
        <v>244</v>
      </c>
      <c r="AI211" t="s">
        <v>244</v>
      </c>
      <c r="AJ211">
        <v>1.6723285130456097E-3</v>
      </c>
      <c r="AK211">
        <v>2.8820177236962099E-3</v>
      </c>
      <c r="AL211">
        <v>1.2096892106506002E-3</v>
      </c>
      <c r="AM211" t="s">
        <v>169</v>
      </c>
      <c r="AN211" t="s">
        <v>146</v>
      </c>
      <c r="AO211" t="s">
        <v>36</v>
      </c>
      <c r="AP211" t="s">
        <v>31</v>
      </c>
      <c r="AQ211">
        <v>2.4501430199660101E-4</v>
      </c>
    </row>
    <row r="212" spans="1:43" x14ac:dyDescent="0.2">
      <c r="A212">
        <v>210</v>
      </c>
      <c r="B212">
        <v>102</v>
      </c>
      <c r="C212">
        <v>6</v>
      </c>
      <c r="F212" t="s">
        <v>29</v>
      </c>
      <c r="G212" t="s">
        <v>660</v>
      </c>
      <c r="I212">
        <v>8.5269919542362494E-6</v>
      </c>
      <c r="J212">
        <v>8.7544637595125998</v>
      </c>
      <c r="K212">
        <v>8.7544637595125998</v>
      </c>
      <c r="L212" s="1"/>
      <c r="M212" s="1"/>
      <c r="N212" s="1">
        <v>43164</v>
      </c>
      <c r="R212">
        <v>-1.8407209487297778E-3</v>
      </c>
      <c r="S212">
        <v>-1.8407209487297778E-3</v>
      </c>
      <c r="T212" t="s">
        <v>32</v>
      </c>
      <c r="U212" t="s">
        <v>32</v>
      </c>
      <c r="AA212">
        <v>6.2295741483495192E-3</v>
      </c>
      <c r="AC212" t="s">
        <v>33</v>
      </c>
      <c r="AD212" t="s">
        <v>33</v>
      </c>
      <c r="AF212">
        <v>2.54</v>
      </c>
      <c r="AG212">
        <v>2.54</v>
      </c>
      <c r="AH212" t="s">
        <v>244</v>
      </c>
      <c r="AI212" t="s">
        <v>244</v>
      </c>
      <c r="AJ212">
        <v>-4.6324196832336004E-3</v>
      </c>
      <c r="AK212">
        <v>0</v>
      </c>
      <c r="AL212">
        <v>4.6324196832336004E-3</v>
      </c>
      <c r="AN212" t="s">
        <v>33</v>
      </c>
      <c r="AO212" t="s">
        <v>33</v>
      </c>
    </row>
    <row r="213" spans="1:43" x14ac:dyDescent="0.2">
      <c r="A213">
        <v>211</v>
      </c>
      <c r="B213">
        <v>98</v>
      </c>
      <c r="C213">
        <v>6</v>
      </c>
      <c r="F213" t="s">
        <v>29</v>
      </c>
      <c r="G213" t="s">
        <v>1057</v>
      </c>
      <c r="I213">
        <v>7.0185632326940051E-6</v>
      </c>
      <c r="J213">
        <v>3.4993193436715</v>
      </c>
      <c r="K213">
        <v>3.4993193436715</v>
      </c>
      <c r="L213" s="1"/>
      <c r="M213" s="1"/>
      <c r="N213" s="1">
        <v>43164</v>
      </c>
      <c r="R213">
        <v>-4.4913223753632802E-3</v>
      </c>
      <c r="S213">
        <v>-4.4913223753632802E-3</v>
      </c>
      <c r="T213" t="s">
        <v>32</v>
      </c>
      <c r="U213" t="s">
        <v>32</v>
      </c>
      <c r="AA213">
        <v>5.1275596725789546E-3</v>
      </c>
      <c r="AC213" t="s">
        <v>42</v>
      </c>
      <c r="AD213" t="s">
        <v>42</v>
      </c>
      <c r="AF213">
        <v>1.68</v>
      </c>
      <c r="AG213">
        <v>1.68</v>
      </c>
      <c r="AH213" t="s">
        <v>244</v>
      </c>
      <c r="AI213" t="s">
        <v>244</v>
      </c>
      <c r="AJ213">
        <v>-1.5626941568910001E-3</v>
      </c>
      <c r="AK213">
        <v>0</v>
      </c>
      <c r="AL213">
        <v>1.5626941568910001E-3</v>
      </c>
      <c r="AN213" t="s">
        <v>42</v>
      </c>
      <c r="AO213" t="s">
        <v>42</v>
      </c>
    </row>
    <row r="214" spans="1:43" x14ac:dyDescent="0.2">
      <c r="A214">
        <v>212</v>
      </c>
      <c r="B214">
        <v>92</v>
      </c>
      <c r="C214">
        <v>6</v>
      </c>
      <c r="F214" t="s">
        <v>29</v>
      </c>
      <c r="G214" t="s">
        <v>661</v>
      </c>
      <c r="I214">
        <v>5.7495268870350854E-6</v>
      </c>
      <c r="J214">
        <v>0.32328767123287999</v>
      </c>
      <c r="K214">
        <v>0.32328767123287999</v>
      </c>
      <c r="L214" s="1"/>
      <c r="M214" s="1"/>
      <c r="N214" s="1">
        <v>43164</v>
      </c>
      <c r="R214">
        <v>-2.293432873749072E-3</v>
      </c>
      <c r="S214">
        <v>-2.293432873749072E-3</v>
      </c>
      <c r="T214" t="s">
        <v>32</v>
      </c>
      <c r="U214" t="s">
        <v>32</v>
      </c>
      <c r="W214" t="s">
        <v>251</v>
      </c>
      <c r="Z214" t="s">
        <v>31</v>
      </c>
      <c r="AA214">
        <v>4.2004383553945011E-3</v>
      </c>
      <c r="AC214" t="s">
        <v>42</v>
      </c>
      <c r="AD214" t="s">
        <v>42</v>
      </c>
      <c r="AE214" t="s">
        <v>41</v>
      </c>
      <c r="AF214">
        <v>0.94</v>
      </c>
      <c r="AG214">
        <v>0.94</v>
      </c>
      <c r="AH214" t="s">
        <v>244</v>
      </c>
      <c r="AI214" t="s">
        <v>244</v>
      </c>
      <c r="AJ214">
        <v>-2.5069523302142E-3</v>
      </c>
      <c r="AK214">
        <v>0</v>
      </c>
      <c r="AL214">
        <v>2.5069523302142E-3</v>
      </c>
      <c r="AM214" t="s">
        <v>41</v>
      </c>
      <c r="AN214" t="s">
        <v>42</v>
      </c>
      <c r="AO214" t="s">
        <v>42</v>
      </c>
      <c r="AP214" t="s">
        <v>31</v>
      </c>
    </row>
    <row r="215" spans="1:43" x14ac:dyDescent="0.2">
      <c r="A215">
        <v>213</v>
      </c>
      <c r="B215">
        <v>92</v>
      </c>
      <c r="C215">
        <v>6</v>
      </c>
      <c r="F215" t="s">
        <v>29</v>
      </c>
      <c r="G215" t="s">
        <v>312</v>
      </c>
      <c r="I215">
        <v>9.7176821141059014E-6</v>
      </c>
      <c r="J215">
        <v>0.56689208288695003</v>
      </c>
      <c r="K215">
        <v>0.56689208288695003</v>
      </c>
      <c r="L215" s="1"/>
      <c r="M215" s="1"/>
      <c r="N215" s="1">
        <v>43164</v>
      </c>
      <c r="R215">
        <v>-2.293432873749072E-3</v>
      </c>
      <c r="S215">
        <v>-2.293432873749072E-3</v>
      </c>
      <c r="T215" t="s">
        <v>32</v>
      </c>
      <c r="U215" t="s">
        <v>32</v>
      </c>
      <c r="W215" t="s">
        <v>251</v>
      </c>
      <c r="Z215" t="s">
        <v>31</v>
      </c>
      <c r="AA215">
        <v>7.099458004042979E-3</v>
      </c>
      <c r="AC215" t="s">
        <v>42</v>
      </c>
      <c r="AD215" t="s">
        <v>42</v>
      </c>
      <c r="AE215" t="s">
        <v>41</v>
      </c>
      <c r="AF215">
        <v>1.06</v>
      </c>
      <c r="AG215">
        <v>1.06</v>
      </c>
      <c r="AH215" t="s">
        <v>244</v>
      </c>
      <c r="AI215" t="s">
        <v>244</v>
      </c>
      <c r="AJ215">
        <v>-4.2371774754498999E-3</v>
      </c>
      <c r="AK215">
        <v>0</v>
      </c>
      <c r="AL215">
        <v>4.2371774754498999E-3</v>
      </c>
      <c r="AM215" t="s">
        <v>41</v>
      </c>
      <c r="AN215" t="s">
        <v>42</v>
      </c>
      <c r="AO215" t="s">
        <v>42</v>
      </c>
      <c r="AP215" t="s">
        <v>31</v>
      </c>
    </row>
    <row r="216" spans="1:43" x14ac:dyDescent="0.2">
      <c r="A216">
        <v>214</v>
      </c>
      <c r="B216">
        <v>92</v>
      </c>
      <c r="C216">
        <v>6</v>
      </c>
      <c r="F216" t="s">
        <v>29</v>
      </c>
      <c r="G216" t="s">
        <v>314</v>
      </c>
      <c r="I216">
        <v>9.6936556914280366E-6</v>
      </c>
      <c r="J216">
        <v>0.81890170931599005</v>
      </c>
      <c r="K216">
        <v>0.81890170931599005</v>
      </c>
      <c r="L216" s="1"/>
      <c r="M216" s="1"/>
      <c r="N216" s="1">
        <v>43164</v>
      </c>
      <c r="R216">
        <v>-2.293432873749072E-3</v>
      </c>
      <c r="S216">
        <v>-2.293432873749072E-3</v>
      </c>
      <c r="T216" t="s">
        <v>32</v>
      </c>
      <c r="U216" t="s">
        <v>32</v>
      </c>
      <c r="W216" t="s">
        <v>251</v>
      </c>
      <c r="Z216" t="s">
        <v>31</v>
      </c>
      <c r="AA216">
        <v>7.0819049932749805E-3</v>
      </c>
      <c r="AC216" t="s">
        <v>42</v>
      </c>
      <c r="AD216" t="s">
        <v>42</v>
      </c>
      <c r="AE216" t="s">
        <v>41</v>
      </c>
      <c r="AF216">
        <v>1.03</v>
      </c>
      <c r="AG216">
        <v>1.03</v>
      </c>
      <c r="AH216" t="s">
        <v>244</v>
      </c>
      <c r="AI216" t="s">
        <v>244</v>
      </c>
      <c r="AJ216">
        <v>-4.2267012923652E-3</v>
      </c>
      <c r="AK216">
        <v>0</v>
      </c>
      <c r="AL216">
        <v>4.2267012923652E-3</v>
      </c>
      <c r="AM216" t="s">
        <v>41</v>
      </c>
      <c r="AN216" t="s">
        <v>42</v>
      </c>
      <c r="AO216" t="s">
        <v>42</v>
      </c>
      <c r="AP216" t="s">
        <v>31</v>
      </c>
    </row>
    <row r="217" spans="1:43" x14ac:dyDescent="0.2">
      <c r="A217">
        <v>215</v>
      </c>
      <c r="B217">
        <v>92</v>
      </c>
      <c r="C217">
        <v>6</v>
      </c>
      <c r="F217" t="s">
        <v>29</v>
      </c>
      <c r="G217" t="s">
        <v>662</v>
      </c>
      <c r="I217">
        <v>5.7425736721062282E-6</v>
      </c>
      <c r="J217">
        <v>0.32328767123287999</v>
      </c>
      <c r="K217">
        <v>0.32328767123287999</v>
      </c>
      <c r="L217" s="1"/>
      <c r="M217" s="1"/>
      <c r="N217" s="1">
        <v>43164</v>
      </c>
      <c r="R217">
        <v>-2.293432873749072E-3</v>
      </c>
      <c r="S217">
        <v>-2.293432873749072E-3</v>
      </c>
      <c r="T217" t="s">
        <v>32</v>
      </c>
      <c r="U217" t="s">
        <v>32</v>
      </c>
      <c r="W217" t="s">
        <v>251</v>
      </c>
      <c r="Z217" t="s">
        <v>31</v>
      </c>
      <c r="AA217">
        <v>4.1953585373061065E-3</v>
      </c>
      <c r="AC217" t="s">
        <v>42</v>
      </c>
      <c r="AD217" t="s">
        <v>42</v>
      </c>
      <c r="AE217" t="s">
        <v>41</v>
      </c>
      <c r="AF217">
        <v>0.87</v>
      </c>
      <c r="AG217">
        <v>0.87</v>
      </c>
      <c r="AH217" t="s">
        <v>244</v>
      </c>
      <c r="AI217" t="s">
        <v>244</v>
      </c>
      <c r="AJ217">
        <v>-2.5039205366925998E-3</v>
      </c>
      <c r="AK217">
        <v>0</v>
      </c>
      <c r="AL217">
        <v>2.5039205366925998E-3</v>
      </c>
      <c r="AM217" t="s">
        <v>41</v>
      </c>
      <c r="AN217" t="s">
        <v>42</v>
      </c>
      <c r="AO217" t="s">
        <v>42</v>
      </c>
      <c r="AP217" t="s">
        <v>31</v>
      </c>
    </row>
    <row r="218" spans="1:43" x14ac:dyDescent="0.2">
      <c r="A218">
        <v>216</v>
      </c>
      <c r="B218">
        <v>92</v>
      </c>
      <c r="C218">
        <v>6</v>
      </c>
      <c r="F218" t="s">
        <v>29</v>
      </c>
      <c r="G218" t="s">
        <v>315</v>
      </c>
      <c r="I218">
        <v>5.8046632469369459E-6</v>
      </c>
      <c r="J218">
        <v>0.81936935245402998</v>
      </c>
      <c r="K218">
        <v>0.81936935245402998</v>
      </c>
      <c r="L218" s="1"/>
      <c r="M218" s="1"/>
      <c r="N218" s="1">
        <v>43164</v>
      </c>
      <c r="R218">
        <v>-2.293432873749072E-3</v>
      </c>
      <c r="S218">
        <v>-2.293432873749072E-3</v>
      </c>
      <c r="T218" t="s">
        <v>32</v>
      </c>
      <c r="U218" t="s">
        <v>32</v>
      </c>
      <c r="W218" t="s">
        <v>251</v>
      </c>
      <c r="Z218" t="s">
        <v>31</v>
      </c>
      <c r="AA218">
        <v>4.2407193881575361E-3</v>
      </c>
      <c r="AC218" t="s">
        <v>42</v>
      </c>
      <c r="AD218" t="s">
        <v>42</v>
      </c>
      <c r="AE218" t="s">
        <v>41</v>
      </c>
      <c r="AF218">
        <v>0.99</v>
      </c>
      <c r="AG218">
        <v>0.99</v>
      </c>
      <c r="AH218" t="s">
        <v>244</v>
      </c>
      <c r="AI218" t="s">
        <v>244</v>
      </c>
      <c r="AJ218">
        <v>-2.5309933041327997E-3</v>
      </c>
      <c r="AK218">
        <v>0</v>
      </c>
      <c r="AL218">
        <v>2.5309933041327997E-3</v>
      </c>
      <c r="AM218" t="s">
        <v>41</v>
      </c>
      <c r="AN218" t="s">
        <v>42</v>
      </c>
      <c r="AO218" t="s">
        <v>42</v>
      </c>
      <c r="AP218" t="s">
        <v>31</v>
      </c>
    </row>
    <row r="219" spans="1:43" x14ac:dyDescent="0.2">
      <c r="A219">
        <v>217</v>
      </c>
      <c r="B219">
        <v>95</v>
      </c>
      <c r="C219">
        <v>6</v>
      </c>
      <c r="F219" t="s">
        <v>29</v>
      </c>
      <c r="G219" t="s">
        <v>663</v>
      </c>
      <c r="I219">
        <v>7.1745345227165401E-6</v>
      </c>
      <c r="J219">
        <v>1.2997270604516999</v>
      </c>
      <c r="K219">
        <v>1.2997270604516999</v>
      </c>
      <c r="L219" s="1"/>
      <c r="M219" s="1"/>
      <c r="N219" s="1">
        <v>43164</v>
      </c>
      <c r="R219">
        <v>-2.8093124561633931E-3</v>
      </c>
      <c r="S219">
        <v>-2.8093124561633931E-3</v>
      </c>
      <c r="T219" t="s">
        <v>32</v>
      </c>
      <c r="U219" t="s">
        <v>32</v>
      </c>
      <c r="W219" t="s">
        <v>251</v>
      </c>
      <c r="Z219" t="s">
        <v>31</v>
      </c>
      <c r="AA219">
        <v>5.2415077941936816E-3</v>
      </c>
      <c r="AC219" t="s">
        <v>42</v>
      </c>
      <c r="AD219" t="s">
        <v>42</v>
      </c>
      <c r="AE219" t="s">
        <v>41</v>
      </c>
      <c r="AF219">
        <v>1.19</v>
      </c>
      <c r="AG219">
        <v>1.19</v>
      </c>
      <c r="AH219" t="s">
        <v>244</v>
      </c>
      <c r="AI219" t="s">
        <v>244</v>
      </c>
      <c r="AJ219">
        <v>-2.5538399998819E-3</v>
      </c>
      <c r="AK219">
        <v>0</v>
      </c>
      <c r="AL219">
        <v>2.5538399998819E-3</v>
      </c>
      <c r="AM219" t="s">
        <v>41</v>
      </c>
      <c r="AN219" t="s">
        <v>42</v>
      </c>
      <c r="AO219" t="s">
        <v>42</v>
      </c>
      <c r="AP219" t="s">
        <v>31</v>
      </c>
    </row>
    <row r="220" spans="1:43" x14ac:dyDescent="0.2">
      <c r="A220">
        <v>218</v>
      </c>
      <c r="B220">
        <v>95</v>
      </c>
      <c r="C220">
        <v>6</v>
      </c>
      <c r="F220" t="s">
        <v>29</v>
      </c>
      <c r="G220" t="s">
        <v>664</v>
      </c>
      <c r="I220">
        <v>7.2303557900999679E-6</v>
      </c>
      <c r="J220">
        <v>1.7805507751773</v>
      </c>
      <c r="K220">
        <v>1.7805507751773</v>
      </c>
      <c r="L220" s="1"/>
      <c r="M220" s="1"/>
      <c r="N220" s="1">
        <v>43164</v>
      </c>
      <c r="R220">
        <v>-2.8093124561633931E-3</v>
      </c>
      <c r="S220">
        <v>-2.8093124561633931E-3</v>
      </c>
      <c r="T220" t="s">
        <v>32</v>
      </c>
      <c r="U220" t="s">
        <v>32</v>
      </c>
      <c r="W220" t="s">
        <v>251</v>
      </c>
      <c r="Z220" t="s">
        <v>31</v>
      </c>
      <c r="AA220">
        <v>5.2822892005895379E-3</v>
      </c>
      <c r="AC220" t="s">
        <v>42</v>
      </c>
      <c r="AD220" t="s">
        <v>42</v>
      </c>
      <c r="AE220" t="s">
        <v>41</v>
      </c>
      <c r="AF220">
        <v>1.23</v>
      </c>
      <c r="AG220">
        <v>1.23</v>
      </c>
      <c r="AH220" t="s">
        <v>244</v>
      </c>
      <c r="AI220" t="s">
        <v>244</v>
      </c>
      <c r="AJ220">
        <v>-2.5737100813536E-3</v>
      </c>
      <c r="AK220">
        <v>0</v>
      </c>
      <c r="AL220">
        <v>2.5737100813536E-3</v>
      </c>
      <c r="AM220" t="s">
        <v>41</v>
      </c>
      <c r="AN220" t="s">
        <v>42</v>
      </c>
      <c r="AO220" t="s">
        <v>42</v>
      </c>
      <c r="AP220" t="s">
        <v>31</v>
      </c>
    </row>
    <row r="221" spans="1:43" x14ac:dyDescent="0.2">
      <c r="A221">
        <v>219</v>
      </c>
      <c r="B221">
        <v>95</v>
      </c>
      <c r="C221">
        <v>6</v>
      </c>
      <c r="F221" t="s">
        <v>29</v>
      </c>
      <c r="G221" t="s">
        <v>665</v>
      </c>
      <c r="I221">
        <v>4.7662677091482054E-6</v>
      </c>
      <c r="J221">
        <v>1.9516983206603</v>
      </c>
      <c r="K221">
        <v>1.9516983206603</v>
      </c>
      <c r="L221" s="1"/>
      <c r="M221" s="1"/>
      <c r="N221" s="1">
        <v>43164</v>
      </c>
      <c r="R221">
        <v>-2.8093124561633931E-3</v>
      </c>
      <c r="S221">
        <v>-2.8093124561633931E-3</v>
      </c>
      <c r="T221" t="s">
        <v>32</v>
      </c>
      <c r="U221" t="s">
        <v>32</v>
      </c>
      <c r="W221" t="s">
        <v>251</v>
      </c>
      <c r="Z221" t="s">
        <v>31</v>
      </c>
      <c r="AA221">
        <v>3.4820975866256929E-3</v>
      </c>
      <c r="AC221" t="s">
        <v>42</v>
      </c>
      <c r="AD221" t="s">
        <v>42</v>
      </c>
      <c r="AE221" t="s">
        <v>41</v>
      </c>
      <c r="AF221">
        <v>1.28</v>
      </c>
      <c r="AG221">
        <v>1.28</v>
      </c>
      <c r="AH221" t="s">
        <v>244</v>
      </c>
      <c r="AI221" t="s">
        <v>244</v>
      </c>
      <c r="AJ221">
        <v>-1.6965957982677999E-3</v>
      </c>
      <c r="AK221">
        <v>0</v>
      </c>
      <c r="AL221">
        <v>1.6965957982677999E-3</v>
      </c>
      <c r="AM221" t="s">
        <v>41</v>
      </c>
      <c r="AN221" t="s">
        <v>42</v>
      </c>
      <c r="AO221" t="s">
        <v>42</v>
      </c>
      <c r="AP221" t="s">
        <v>31</v>
      </c>
    </row>
    <row r="222" spans="1:43" x14ac:dyDescent="0.2">
      <c r="A222">
        <v>220</v>
      </c>
      <c r="B222">
        <v>101</v>
      </c>
      <c r="C222">
        <v>6</v>
      </c>
      <c r="D222">
        <v>14000</v>
      </c>
      <c r="E222" t="s">
        <v>311</v>
      </c>
      <c r="F222" t="s">
        <v>29</v>
      </c>
      <c r="G222" t="s">
        <v>666</v>
      </c>
      <c r="H222">
        <v>4.115159753712689E-2</v>
      </c>
      <c r="I222">
        <v>-2.1716880600785901E-5</v>
      </c>
      <c r="J222">
        <v>6.38</v>
      </c>
      <c r="K222">
        <v>6.3884987062710001</v>
      </c>
      <c r="L222" s="1">
        <v>45717</v>
      </c>
      <c r="M222" s="1">
        <v>43165</v>
      </c>
      <c r="N222" s="1">
        <v>43164</v>
      </c>
      <c r="R222">
        <v>-5.6906384243591525E-3</v>
      </c>
      <c r="S222">
        <v>-5.6906384243591525E-3</v>
      </c>
      <c r="T222" t="s">
        <v>32</v>
      </c>
      <c r="U222" t="s">
        <v>32</v>
      </c>
      <c r="V222">
        <v>402137481</v>
      </c>
      <c r="W222" t="s">
        <v>251</v>
      </c>
      <c r="X222" t="s">
        <v>313</v>
      </c>
      <c r="Y222">
        <v>14000</v>
      </c>
      <c r="Z222" t="s">
        <v>31</v>
      </c>
      <c r="AA222">
        <v>-1.586572600273627E-2</v>
      </c>
      <c r="AB222">
        <v>106.53</v>
      </c>
      <c r="AC222" t="s">
        <v>42</v>
      </c>
      <c r="AD222" t="s">
        <v>42</v>
      </c>
      <c r="AE222" t="s">
        <v>41</v>
      </c>
      <c r="AF222">
        <v>8.4814849139223283E-2</v>
      </c>
      <c r="AG222">
        <v>1.99</v>
      </c>
      <c r="AH222" t="s">
        <v>244</v>
      </c>
      <c r="AI222" t="s">
        <v>244</v>
      </c>
      <c r="AJ222">
        <v>3.8162467866215788E-3</v>
      </c>
      <c r="AK222">
        <v>6.4500936578568788E-3</v>
      </c>
      <c r="AL222">
        <v>2.6338468712353001E-3</v>
      </c>
      <c r="AM222" t="s">
        <v>41</v>
      </c>
      <c r="AN222" t="s">
        <v>138</v>
      </c>
      <c r="AO222" t="s">
        <v>42</v>
      </c>
      <c r="AP222" t="s">
        <v>31</v>
      </c>
      <c r="AQ222">
        <v>5.4706372052499208E-4</v>
      </c>
    </row>
    <row r="223" spans="1:43" x14ac:dyDescent="0.2">
      <c r="A223">
        <v>221</v>
      </c>
      <c r="B223">
        <v>101</v>
      </c>
      <c r="C223">
        <v>6</v>
      </c>
      <c r="D223">
        <v>25000</v>
      </c>
      <c r="E223" t="s">
        <v>311</v>
      </c>
      <c r="F223" t="s">
        <v>29</v>
      </c>
      <c r="G223" t="s">
        <v>667</v>
      </c>
      <c r="H223">
        <v>7.6022995520634296E-2</v>
      </c>
      <c r="I223">
        <v>-5.6011872386514119E-5</v>
      </c>
      <c r="J223">
        <v>6.55</v>
      </c>
      <c r="K223">
        <v>6.5506124213354999</v>
      </c>
      <c r="L223" s="1">
        <v>45809</v>
      </c>
      <c r="M223" s="1">
        <v>43165</v>
      </c>
      <c r="N223" s="1">
        <v>43164</v>
      </c>
      <c r="R223">
        <v>-5.6906384243591525E-3</v>
      </c>
      <c r="S223">
        <v>-5.6906384243591525E-3</v>
      </c>
      <c r="T223" t="s">
        <v>32</v>
      </c>
      <c r="U223" t="s">
        <v>32</v>
      </c>
      <c r="V223">
        <v>723622747</v>
      </c>
      <c r="W223" t="s">
        <v>251</v>
      </c>
      <c r="X223" t="s">
        <v>313</v>
      </c>
      <c r="Y223">
        <v>25000</v>
      </c>
      <c r="Z223" t="s">
        <v>31</v>
      </c>
      <c r="AA223">
        <v>-4.0920656908363863E-2</v>
      </c>
      <c r="AB223">
        <v>106.57</v>
      </c>
      <c r="AC223" t="s">
        <v>42</v>
      </c>
      <c r="AD223" t="s">
        <v>42</v>
      </c>
      <c r="AE223" t="s">
        <v>41</v>
      </c>
      <c r="AF223">
        <v>8.5014849139223289E-2</v>
      </c>
      <c r="AG223">
        <v>2.04</v>
      </c>
      <c r="AH223" t="s">
        <v>244</v>
      </c>
      <c r="AI223" t="s">
        <v>244</v>
      </c>
      <c r="AJ223">
        <v>9.8428099291551566E-3</v>
      </c>
      <c r="AK223">
        <v>1.1606564201623556E-2</v>
      </c>
      <c r="AL223">
        <v>1.7637542724684E-3</v>
      </c>
      <c r="AM223" t="s">
        <v>41</v>
      </c>
      <c r="AN223" t="s">
        <v>138</v>
      </c>
      <c r="AO223" t="s">
        <v>42</v>
      </c>
      <c r="AP223" t="s">
        <v>31</v>
      </c>
      <c r="AQ223">
        <v>9.8673030462573621E-4</v>
      </c>
    </row>
    <row r="224" spans="1:43" x14ac:dyDescent="0.2">
      <c r="A224">
        <v>222</v>
      </c>
      <c r="B224">
        <v>95</v>
      </c>
      <c r="C224">
        <v>6</v>
      </c>
      <c r="F224" t="s">
        <v>29</v>
      </c>
      <c r="G224" t="s">
        <v>668</v>
      </c>
      <c r="I224">
        <v>7.2099324649839433E-6</v>
      </c>
      <c r="J224">
        <v>2.2597387882497002</v>
      </c>
      <c r="K224">
        <v>2.2597387882497002</v>
      </c>
      <c r="L224" s="1"/>
      <c r="M224" s="1"/>
      <c r="N224" s="1">
        <v>43164</v>
      </c>
      <c r="R224">
        <v>-2.8093124561633931E-3</v>
      </c>
      <c r="S224">
        <v>-2.8093124561633931E-3</v>
      </c>
      <c r="T224" t="s">
        <v>32</v>
      </c>
      <c r="U224" t="s">
        <v>32</v>
      </c>
      <c r="W224" t="s">
        <v>251</v>
      </c>
      <c r="Z224" t="s">
        <v>31</v>
      </c>
      <c r="AA224">
        <v>5.2673685088791495E-3</v>
      </c>
      <c r="AC224" t="s">
        <v>42</v>
      </c>
      <c r="AD224" t="s">
        <v>42</v>
      </c>
      <c r="AE224" t="s">
        <v>41</v>
      </c>
      <c r="AF224">
        <v>1.34</v>
      </c>
      <c r="AG224">
        <v>1.34</v>
      </c>
      <c r="AH224" t="s">
        <v>244</v>
      </c>
      <c r="AI224" t="s">
        <v>244</v>
      </c>
      <c r="AJ224">
        <v>-2.5664402153508996E-3</v>
      </c>
      <c r="AK224">
        <v>0</v>
      </c>
      <c r="AL224">
        <v>2.5664402153508996E-3</v>
      </c>
      <c r="AM224" t="s">
        <v>41</v>
      </c>
      <c r="AN224" t="s">
        <v>42</v>
      </c>
      <c r="AO224" t="s">
        <v>42</v>
      </c>
      <c r="AP224" t="s">
        <v>31</v>
      </c>
    </row>
    <row r="225" spans="1:43" x14ac:dyDescent="0.2">
      <c r="A225">
        <v>223</v>
      </c>
      <c r="B225">
        <v>101</v>
      </c>
      <c r="C225">
        <v>6</v>
      </c>
      <c r="F225" t="s">
        <v>29</v>
      </c>
      <c r="G225" t="s">
        <v>669</v>
      </c>
      <c r="I225">
        <v>9.9753096113635485E-6</v>
      </c>
      <c r="J225">
        <v>7.2024344828808999</v>
      </c>
      <c r="K225">
        <v>7.2024344828808999</v>
      </c>
      <c r="L225" s="1"/>
      <c r="M225" s="1"/>
      <c r="N225" s="1">
        <v>43164</v>
      </c>
      <c r="R225">
        <v>-5.6906384243591525E-3</v>
      </c>
      <c r="S225">
        <v>-5.6906384243591525E-3</v>
      </c>
      <c r="T225" t="s">
        <v>32</v>
      </c>
      <c r="U225" t="s">
        <v>32</v>
      </c>
      <c r="AA225">
        <v>7.287673215859017E-3</v>
      </c>
      <c r="AC225" t="s">
        <v>42</v>
      </c>
      <c r="AD225" t="s">
        <v>42</v>
      </c>
      <c r="AF225">
        <v>2.12</v>
      </c>
      <c r="AG225">
        <v>2.12</v>
      </c>
      <c r="AH225" t="s">
        <v>244</v>
      </c>
      <c r="AI225" t="s">
        <v>244</v>
      </c>
      <c r="AJ225">
        <v>-1.7529333033466999E-3</v>
      </c>
      <c r="AK225">
        <v>0</v>
      </c>
      <c r="AL225">
        <v>1.7529333033466999E-3</v>
      </c>
      <c r="AN225" t="s">
        <v>42</v>
      </c>
      <c r="AO225" t="s">
        <v>42</v>
      </c>
    </row>
    <row r="226" spans="1:43" x14ac:dyDescent="0.2">
      <c r="A226">
        <v>224</v>
      </c>
      <c r="B226">
        <v>101</v>
      </c>
      <c r="C226">
        <v>6</v>
      </c>
      <c r="F226" t="s">
        <v>29</v>
      </c>
      <c r="G226" t="s">
        <v>1058</v>
      </c>
      <c r="I226">
        <v>1.000451687044902E-5</v>
      </c>
      <c r="J226">
        <v>7.5203840810239999</v>
      </c>
      <c r="K226">
        <v>7.5203840810239999</v>
      </c>
      <c r="L226" s="1"/>
      <c r="M226" s="1"/>
      <c r="N226" s="1">
        <v>43164</v>
      </c>
      <c r="R226">
        <v>-5.6906384243591525E-3</v>
      </c>
      <c r="S226">
        <v>-5.6906384243591525E-3</v>
      </c>
      <c r="T226" t="s">
        <v>32</v>
      </c>
      <c r="U226" t="s">
        <v>32</v>
      </c>
      <c r="AA226">
        <v>7.3090111961361774E-3</v>
      </c>
      <c r="AC226" t="s">
        <v>42</v>
      </c>
      <c r="AD226" t="s">
        <v>42</v>
      </c>
      <c r="AF226">
        <v>2.16</v>
      </c>
      <c r="AG226">
        <v>2.16</v>
      </c>
      <c r="AH226" t="s">
        <v>244</v>
      </c>
      <c r="AI226" t="s">
        <v>244</v>
      </c>
      <c r="AJ226">
        <v>-1.7580658134285999E-3</v>
      </c>
      <c r="AK226">
        <v>0</v>
      </c>
      <c r="AL226">
        <v>1.7580658134285999E-3</v>
      </c>
      <c r="AN226" t="s">
        <v>42</v>
      </c>
      <c r="AO226" t="s">
        <v>42</v>
      </c>
    </row>
    <row r="227" spans="1:43" x14ac:dyDescent="0.2">
      <c r="A227">
        <v>225</v>
      </c>
      <c r="B227">
        <v>101</v>
      </c>
      <c r="C227">
        <v>6</v>
      </c>
      <c r="F227" t="s">
        <v>29</v>
      </c>
      <c r="G227" t="s">
        <v>670</v>
      </c>
      <c r="I227">
        <v>9.9809331744097792E-6</v>
      </c>
      <c r="J227">
        <v>7.9939636639882998</v>
      </c>
      <c r="K227">
        <v>7.9939636639882998</v>
      </c>
      <c r="L227" s="1"/>
      <c r="M227" s="1"/>
      <c r="N227" s="1">
        <v>43164</v>
      </c>
      <c r="R227">
        <v>-5.6906384243591525E-3</v>
      </c>
      <c r="S227">
        <v>-5.6906384243591525E-3</v>
      </c>
      <c r="T227" t="s">
        <v>32</v>
      </c>
      <c r="U227" t="s">
        <v>32</v>
      </c>
      <c r="AA227">
        <v>7.2917816286688832E-3</v>
      </c>
      <c r="AC227" t="s">
        <v>42</v>
      </c>
      <c r="AD227" t="s">
        <v>42</v>
      </c>
      <c r="AF227">
        <v>2.21</v>
      </c>
      <c r="AG227">
        <v>2.21</v>
      </c>
      <c r="AH227" t="s">
        <v>244</v>
      </c>
      <c r="AI227" t="s">
        <v>244</v>
      </c>
      <c r="AJ227">
        <v>-1.7539215163778E-3</v>
      </c>
      <c r="AK227">
        <v>0</v>
      </c>
      <c r="AL227">
        <v>1.7539215163778E-3</v>
      </c>
      <c r="AN227" t="s">
        <v>42</v>
      </c>
      <c r="AO227" t="s">
        <v>42</v>
      </c>
    </row>
    <row r="228" spans="1:43" x14ac:dyDescent="0.2">
      <c r="A228">
        <v>226</v>
      </c>
      <c r="B228">
        <v>98</v>
      </c>
      <c r="C228">
        <v>6</v>
      </c>
      <c r="F228" t="s">
        <v>29</v>
      </c>
      <c r="G228" t="s">
        <v>671</v>
      </c>
      <c r="I228">
        <v>7.7301787490337297E-6</v>
      </c>
      <c r="J228">
        <v>3.8100089740137002</v>
      </c>
      <c r="K228">
        <v>3.8100089740137002</v>
      </c>
      <c r="L228" s="1"/>
      <c r="M228" s="1"/>
      <c r="N228" s="1">
        <v>43164</v>
      </c>
      <c r="R228">
        <v>-4.4913223753632802E-3</v>
      </c>
      <c r="S228">
        <v>-4.4913223753632802E-3</v>
      </c>
      <c r="T228" t="s">
        <v>32</v>
      </c>
      <c r="U228" t="s">
        <v>32</v>
      </c>
      <c r="AA228">
        <v>5.6474454245470885E-3</v>
      </c>
      <c r="AC228" t="s">
        <v>42</v>
      </c>
      <c r="AD228" t="s">
        <v>42</v>
      </c>
      <c r="AF228">
        <v>1.63</v>
      </c>
      <c r="AG228">
        <v>1.63</v>
      </c>
      <c r="AH228" t="s">
        <v>244</v>
      </c>
      <c r="AI228" t="s">
        <v>244</v>
      </c>
      <c r="AJ228">
        <v>-1.7211364722863999E-3</v>
      </c>
      <c r="AK228">
        <v>0</v>
      </c>
      <c r="AL228">
        <v>1.7211364722863999E-3</v>
      </c>
      <c r="AN228" t="s">
        <v>42</v>
      </c>
      <c r="AO228" t="s">
        <v>42</v>
      </c>
    </row>
    <row r="229" spans="1:43" x14ac:dyDescent="0.2">
      <c r="A229">
        <v>227</v>
      </c>
      <c r="B229">
        <v>98</v>
      </c>
      <c r="C229">
        <v>6</v>
      </c>
      <c r="F229" t="s">
        <v>29</v>
      </c>
      <c r="G229" t="s">
        <v>672</v>
      </c>
      <c r="I229">
        <v>1.169983335456398E-5</v>
      </c>
      <c r="J229">
        <v>3.9266462003965001</v>
      </c>
      <c r="K229">
        <v>3.9266462003965001</v>
      </c>
      <c r="L229" s="1"/>
      <c r="M229" s="1"/>
      <c r="N229" s="1">
        <v>43164</v>
      </c>
      <c r="R229">
        <v>-4.4913223753632802E-3</v>
      </c>
      <c r="S229">
        <v>-4.4913223753632802E-3</v>
      </c>
      <c r="T229" t="s">
        <v>32</v>
      </c>
      <c r="U229" t="s">
        <v>32</v>
      </c>
      <c r="AA229">
        <v>8.5475604758111206E-3</v>
      </c>
      <c r="AC229" t="s">
        <v>42</v>
      </c>
      <c r="AD229" t="s">
        <v>42</v>
      </c>
      <c r="AF229">
        <v>1.68</v>
      </c>
      <c r="AG229">
        <v>1.68</v>
      </c>
      <c r="AH229" t="s">
        <v>244</v>
      </c>
      <c r="AI229" t="s">
        <v>244</v>
      </c>
      <c r="AJ229">
        <v>-2.6049863217885E-3</v>
      </c>
      <c r="AK229">
        <v>0</v>
      </c>
      <c r="AL229">
        <v>2.6049863217885E-3</v>
      </c>
      <c r="AN229" t="s">
        <v>42</v>
      </c>
      <c r="AO229" t="s">
        <v>42</v>
      </c>
    </row>
    <row r="230" spans="1:43" x14ac:dyDescent="0.2">
      <c r="A230">
        <v>228</v>
      </c>
      <c r="B230">
        <v>101</v>
      </c>
      <c r="C230">
        <v>6</v>
      </c>
      <c r="F230" t="s">
        <v>29</v>
      </c>
      <c r="G230" t="s">
        <v>1059</v>
      </c>
      <c r="I230">
        <v>1.006035738442633E-5</v>
      </c>
      <c r="J230">
        <v>8.0499778438366008</v>
      </c>
      <c r="K230">
        <v>8.0499778438366008</v>
      </c>
      <c r="L230" s="1"/>
      <c r="M230" s="1"/>
      <c r="N230" s="1">
        <v>43164</v>
      </c>
      <c r="R230">
        <v>-5.6906384243591525E-3</v>
      </c>
      <c r="S230">
        <v>-5.6906384243591525E-3</v>
      </c>
      <c r="T230" t="s">
        <v>32</v>
      </c>
      <c r="U230" t="s">
        <v>32</v>
      </c>
      <c r="AA230">
        <v>7.3498066635378769E-3</v>
      </c>
      <c r="AC230" t="s">
        <v>42</v>
      </c>
      <c r="AD230" t="s">
        <v>42</v>
      </c>
      <c r="AF230">
        <v>2.2200000000000002</v>
      </c>
      <c r="AG230">
        <v>2.2200000000000002</v>
      </c>
      <c r="AH230" t="s">
        <v>244</v>
      </c>
      <c r="AI230" t="s">
        <v>244</v>
      </c>
      <c r="AJ230">
        <v>-1.767878511023E-3</v>
      </c>
      <c r="AK230">
        <v>0</v>
      </c>
      <c r="AL230">
        <v>1.767878511023E-3</v>
      </c>
      <c r="AN230" t="s">
        <v>42</v>
      </c>
      <c r="AO230" t="s">
        <v>42</v>
      </c>
    </row>
    <row r="231" spans="1:43" x14ac:dyDescent="0.2">
      <c r="A231">
        <v>229</v>
      </c>
      <c r="B231">
        <v>98</v>
      </c>
      <c r="C231">
        <v>6</v>
      </c>
      <c r="F231" t="s">
        <v>29</v>
      </c>
      <c r="G231" t="s">
        <v>673</v>
      </c>
      <c r="I231">
        <v>1.1595268123550597E-5</v>
      </c>
      <c r="J231">
        <v>3.8100089740137002</v>
      </c>
      <c r="K231">
        <v>3.8100089740137002</v>
      </c>
      <c r="L231" s="1"/>
      <c r="M231" s="1"/>
      <c r="N231" s="1">
        <v>43164</v>
      </c>
      <c r="R231">
        <v>-4.4913223753632802E-3</v>
      </c>
      <c r="S231">
        <v>-4.4913223753632802E-3</v>
      </c>
      <c r="T231" t="s">
        <v>32</v>
      </c>
      <c r="U231" t="s">
        <v>32</v>
      </c>
      <c r="AA231">
        <v>8.4711681368206358E-3</v>
      </c>
      <c r="AC231" t="s">
        <v>42</v>
      </c>
      <c r="AD231" t="s">
        <v>42</v>
      </c>
      <c r="AF231">
        <v>1.63</v>
      </c>
      <c r="AG231">
        <v>1.63</v>
      </c>
      <c r="AH231" t="s">
        <v>244</v>
      </c>
      <c r="AI231" t="s">
        <v>244</v>
      </c>
      <c r="AJ231">
        <v>-2.5817047084296003E-3</v>
      </c>
      <c r="AK231">
        <v>0</v>
      </c>
      <c r="AL231">
        <v>2.5817047084296003E-3</v>
      </c>
      <c r="AN231" t="s">
        <v>42</v>
      </c>
      <c r="AO231" t="s">
        <v>42</v>
      </c>
    </row>
    <row r="232" spans="1:43" x14ac:dyDescent="0.2">
      <c r="A232">
        <v>230</v>
      </c>
      <c r="B232">
        <v>101</v>
      </c>
      <c r="C232">
        <v>6</v>
      </c>
      <c r="F232" t="s">
        <v>29</v>
      </c>
      <c r="G232" t="s">
        <v>1060</v>
      </c>
      <c r="I232">
        <v>1.4926371206946443E-5</v>
      </c>
      <c r="J232">
        <v>6.4054714601107001</v>
      </c>
      <c r="K232">
        <v>6.4054714601107001</v>
      </c>
      <c r="L232" s="1"/>
      <c r="M232" s="1"/>
      <c r="N232" s="1">
        <v>43164</v>
      </c>
      <c r="R232">
        <v>-5.6906384243591525E-3</v>
      </c>
      <c r="S232">
        <v>-5.6906384243591525E-3</v>
      </c>
      <c r="T232" t="s">
        <v>32</v>
      </c>
      <c r="U232" t="s">
        <v>32</v>
      </c>
      <c r="AA232">
        <v>1.0904775880932645E-2</v>
      </c>
      <c r="AC232" t="s">
        <v>42</v>
      </c>
      <c r="AD232" t="s">
        <v>42</v>
      </c>
      <c r="AF232">
        <v>1.97</v>
      </c>
      <c r="AG232">
        <v>1.97</v>
      </c>
      <c r="AH232" t="s">
        <v>244</v>
      </c>
      <c r="AI232" t="s">
        <v>244</v>
      </c>
      <c r="AJ232">
        <v>-2.6229695323907996E-3</v>
      </c>
      <c r="AK232">
        <v>0</v>
      </c>
      <c r="AL232">
        <v>2.6229695323907996E-3</v>
      </c>
      <c r="AN232" t="s">
        <v>42</v>
      </c>
      <c r="AO232" t="s">
        <v>42</v>
      </c>
    </row>
    <row r="233" spans="1:43" x14ac:dyDescent="0.2">
      <c r="A233">
        <v>231</v>
      </c>
      <c r="B233">
        <v>101</v>
      </c>
      <c r="C233">
        <v>6</v>
      </c>
      <c r="F233" t="s">
        <v>29</v>
      </c>
      <c r="G233" t="s">
        <v>674</v>
      </c>
      <c r="I233">
        <v>1.4984052755911706E-5</v>
      </c>
      <c r="J233">
        <v>7.2027792222232003</v>
      </c>
      <c r="K233">
        <v>7.2027792222232003</v>
      </c>
      <c r="L233" s="1"/>
      <c r="M233" s="1"/>
      <c r="N233" s="1">
        <v>43164</v>
      </c>
      <c r="R233">
        <v>-5.6906384243591525E-3</v>
      </c>
      <c r="S233">
        <v>-5.6906384243591525E-3</v>
      </c>
      <c r="T233" t="s">
        <v>32</v>
      </c>
      <c r="U233" t="s">
        <v>32</v>
      </c>
      <c r="W233" t="s">
        <v>251</v>
      </c>
      <c r="Z233" t="s">
        <v>31</v>
      </c>
      <c r="AA233">
        <v>1.0946916355346044E-2</v>
      </c>
      <c r="AC233" t="s">
        <v>42</v>
      </c>
      <c r="AD233" t="s">
        <v>42</v>
      </c>
      <c r="AE233" t="s">
        <v>41</v>
      </c>
      <c r="AF233">
        <v>2.11</v>
      </c>
      <c r="AG233">
        <v>2.11</v>
      </c>
      <c r="AH233" t="s">
        <v>244</v>
      </c>
      <c r="AI233" t="s">
        <v>244</v>
      </c>
      <c r="AJ233">
        <v>-2.6331057499227998E-3</v>
      </c>
      <c r="AK233">
        <v>0</v>
      </c>
      <c r="AL233">
        <v>2.6331057499227998E-3</v>
      </c>
      <c r="AM233" t="s">
        <v>41</v>
      </c>
      <c r="AN233" t="s">
        <v>42</v>
      </c>
      <c r="AO233" t="s">
        <v>42</v>
      </c>
      <c r="AP233" t="s">
        <v>31</v>
      </c>
    </row>
    <row r="234" spans="1:43" x14ac:dyDescent="0.2">
      <c r="A234">
        <v>232</v>
      </c>
      <c r="B234">
        <v>98</v>
      </c>
      <c r="C234">
        <v>6</v>
      </c>
      <c r="F234" t="s">
        <v>29</v>
      </c>
      <c r="G234" t="s">
        <v>675</v>
      </c>
      <c r="I234">
        <v>1.178158346733626E-5</v>
      </c>
      <c r="J234">
        <v>4.8087515908988001</v>
      </c>
      <c r="K234">
        <v>4.8087515908988001</v>
      </c>
      <c r="L234" s="1"/>
      <c r="M234" s="1"/>
      <c r="N234" s="1">
        <v>43164</v>
      </c>
      <c r="R234">
        <v>-4.4913223753632802E-3</v>
      </c>
      <c r="S234">
        <v>-4.4913223753632802E-3</v>
      </c>
      <c r="T234" t="s">
        <v>32</v>
      </c>
      <c r="U234" t="s">
        <v>32</v>
      </c>
      <c r="AA234">
        <v>8.6072847480848681E-3</v>
      </c>
      <c r="AC234" t="s">
        <v>42</v>
      </c>
      <c r="AD234" t="s">
        <v>42</v>
      </c>
      <c r="AF234">
        <v>1.74</v>
      </c>
      <c r="AG234">
        <v>1.74</v>
      </c>
      <c r="AH234" t="s">
        <v>244</v>
      </c>
      <c r="AI234" t="s">
        <v>244</v>
      </c>
      <c r="AJ234">
        <v>-2.6231881131408004E-3</v>
      </c>
      <c r="AK234">
        <v>0</v>
      </c>
      <c r="AL234">
        <v>2.6231881131408004E-3</v>
      </c>
      <c r="AN234" t="s">
        <v>42</v>
      </c>
      <c r="AO234" t="s">
        <v>42</v>
      </c>
    </row>
    <row r="235" spans="1:43" x14ac:dyDescent="0.2">
      <c r="A235">
        <v>233</v>
      </c>
      <c r="B235">
        <v>101</v>
      </c>
      <c r="C235">
        <v>6</v>
      </c>
      <c r="F235" t="s">
        <v>29</v>
      </c>
      <c r="G235" t="s">
        <v>1061</v>
      </c>
      <c r="I235">
        <v>1.0024086815314075E-5</v>
      </c>
      <c r="J235">
        <v>6.5707160692087001</v>
      </c>
      <c r="K235">
        <v>6.5707160692087001</v>
      </c>
      <c r="L235" s="1"/>
      <c r="M235" s="1"/>
      <c r="N235" s="1">
        <v>43164</v>
      </c>
      <c r="R235">
        <v>-5.6906384243591525E-3</v>
      </c>
      <c r="S235">
        <v>-5.6906384243591525E-3</v>
      </c>
      <c r="T235" t="s">
        <v>32</v>
      </c>
      <c r="U235" t="s">
        <v>32</v>
      </c>
      <c r="AA235">
        <v>7.3233084328722109E-3</v>
      </c>
      <c r="AC235" t="s">
        <v>42</v>
      </c>
      <c r="AD235" t="s">
        <v>42</v>
      </c>
      <c r="AF235">
        <v>1.99</v>
      </c>
      <c r="AG235">
        <v>1.99</v>
      </c>
      <c r="AH235" t="s">
        <v>244</v>
      </c>
      <c r="AI235" t="s">
        <v>244</v>
      </c>
      <c r="AJ235">
        <v>-1.7615047851933998E-3</v>
      </c>
      <c r="AK235">
        <v>0</v>
      </c>
      <c r="AL235">
        <v>1.7615047851933998E-3</v>
      </c>
      <c r="AN235" t="s">
        <v>42</v>
      </c>
      <c r="AO235" t="s">
        <v>42</v>
      </c>
    </row>
    <row r="236" spans="1:43" x14ac:dyDescent="0.2">
      <c r="A236">
        <v>234</v>
      </c>
      <c r="B236">
        <v>109</v>
      </c>
      <c r="C236">
        <v>6</v>
      </c>
      <c r="F236" t="s">
        <v>29</v>
      </c>
      <c r="G236" t="s">
        <v>676</v>
      </c>
      <c r="I236">
        <v>-2.2044607087630818E-6</v>
      </c>
      <c r="J236">
        <v>3.7839436084992002</v>
      </c>
      <c r="K236">
        <v>3.7839436084992002</v>
      </c>
      <c r="L236" s="1"/>
      <c r="M236" s="1"/>
      <c r="N236" s="1">
        <v>43164</v>
      </c>
      <c r="R236">
        <v>1.4126282573991276E-3</v>
      </c>
      <c r="S236">
        <v>1.4126282573991276E-3</v>
      </c>
      <c r="T236" t="s">
        <v>39</v>
      </c>
      <c r="U236" t="s">
        <v>39</v>
      </c>
      <c r="AA236">
        <v>-1.610515351259386E-3</v>
      </c>
      <c r="AC236" t="s">
        <v>42</v>
      </c>
      <c r="AD236" t="s">
        <v>42</v>
      </c>
      <c r="AF236">
        <v>4.4000000000000004</v>
      </c>
      <c r="AG236">
        <v>4.4000000000000004</v>
      </c>
      <c r="AH236" t="s">
        <v>244</v>
      </c>
      <c r="AI236" t="s">
        <v>244</v>
      </c>
      <c r="AJ236">
        <v>-1.5605384482552001E-3</v>
      </c>
      <c r="AK236">
        <v>0</v>
      </c>
      <c r="AL236">
        <v>1.5605384482552001E-3</v>
      </c>
      <c r="AN236" t="s">
        <v>42</v>
      </c>
      <c r="AO236" t="s">
        <v>42</v>
      </c>
    </row>
    <row r="237" spans="1:43" x14ac:dyDescent="0.2">
      <c r="A237">
        <v>235</v>
      </c>
      <c r="B237">
        <v>99</v>
      </c>
      <c r="C237">
        <v>6</v>
      </c>
      <c r="D237">
        <v>10000</v>
      </c>
      <c r="E237" t="s">
        <v>677</v>
      </c>
      <c r="F237" t="s">
        <v>29</v>
      </c>
      <c r="G237" t="s">
        <v>678</v>
      </c>
      <c r="H237">
        <v>1.4788523920412902E-2</v>
      </c>
      <c r="I237">
        <v>-4.3826826182241646E-6</v>
      </c>
      <c r="J237">
        <v>4.59</v>
      </c>
      <c r="K237">
        <v>4.5996475878265004</v>
      </c>
      <c r="L237" s="1">
        <v>46539</v>
      </c>
      <c r="M237" s="1">
        <v>43165</v>
      </c>
      <c r="N237" s="1">
        <v>43164</v>
      </c>
      <c r="R237">
        <v>-2.4229989783995497E-3</v>
      </c>
      <c r="S237">
        <v>-2.4229989783995497E-3</v>
      </c>
      <c r="T237" t="s">
        <v>32</v>
      </c>
      <c r="U237" t="s">
        <v>32</v>
      </c>
      <c r="V237">
        <v>200872588</v>
      </c>
      <c r="W237" t="s">
        <v>677</v>
      </c>
      <c r="X237" t="s">
        <v>679</v>
      </c>
      <c r="Y237">
        <v>10000</v>
      </c>
      <c r="Z237" t="s">
        <v>31</v>
      </c>
      <c r="AA237">
        <v>-3.2018613932602758E-3</v>
      </c>
      <c r="AB237">
        <v>118.45</v>
      </c>
      <c r="AC237" t="s">
        <v>33</v>
      </c>
      <c r="AD237" t="s">
        <v>33</v>
      </c>
      <c r="AE237" t="s">
        <v>169</v>
      </c>
      <c r="AF237">
        <v>8.5414849139223287E-2</v>
      </c>
      <c r="AG237">
        <v>2.02</v>
      </c>
      <c r="AH237" t="s">
        <v>244</v>
      </c>
      <c r="AI237" t="s">
        <v>244</v>
      </c>
      <c r="AJ237">
        <v>1.8087843442340342E-3</v>
      </c>
      <c r="AK237">
        <v>3.2219006362555341E-3</v>
      </c>
      <c r="AL237">
        <v>1.4131162920214999E-3</v>
      </c>
      <c r="AM237" t="s">
        <v>169</v>
      </c>
      <c r="AN237" t="s">
        <v>144</v>
      </c>
      <c r="AO237" t="s">
        <v>33</v>
      </c>
      <c r="AP237" t="s">
        <v>31</v>
      </c>
      <c r="AQ237">
        <v>2.7519815678733397E-4</v>
      </c>
    </row>
    <row r="238" spans="1:43" x14ac:dyDescent="0.2">
      <c r="A238">
        <v>236</v>
      </c>
      <c r="B238">
        <v>99</v>
      </c>
      <c r="C238">
        <v>6</v>
      </c>
      <c r="F238" t="s">
        <v>29</v>
      </c>
      <c r="G238" t="s">
        <v>1031</v>
      </c>
      <c r="I238">
        <v>2.8278883522520467E-6</v>
      </c>
      <c r="J238">
        <v>3.9411288681230001</v>
      </c>
      <c r="K238">
        <v>3.9411288681230001</v>
      </c>
      <c r="L238" s="1"/>
      <c r="M238" s="1"/>
      <c r="N238" s="1">
        <v>43164</v>
      </c>
      <c r="R238">
        <v>-2.4229989783995497E-3</v>
      </c>
      <c r="S238">
        <v>-2.4229989783995497E-3</v>
      </c>
      <c r="T238" t="s">
        <v>32</v>
      </c>
      <c r="U238" t="s">
        <v>32</v>
      </c>
      <c r="W238" t="s">
        <v>677</v>
      </c>
      <c r="Z238" t="s">
        <v>31</v>
      </c>
      <c r="AA238">
        <v>2.0659735892979338E-3</v>
      </c>
      <c r="AC238" t="s">
        <v>33</v>
      </c>
      <c r="AD238" t="s">
        <v>33</v>
      </c>
      <c r="AE238" t="s">
        <v>169</v>
      </c>
      <c r="AF238">
        <v>1.9</v>
      </c>
      <c r="AG238">
        <v>1.9</v>
      </c>
      <c r="AH238" t="s">
        <v>244</v>
      </c>
      <c r="AI238" t="s">
        <v>244</v>
      </c>
      <c r="AJ238">
        <v>-1.1671025772036999E-3</v>
      </c>
      <c r="AK238">
        <v>0</v>
      </c>
      <c r="AL238">
        <v>1.1671025772036999E-3</v>
      </c>
      <c r="AM238" t="s">
        <v>169</v>
      </c>
      <c r="AN238" t="s">
        <v>33</v>
      </c>
      <c r="AO238" t="s">
        <v>33</v>
      </c>
      <c r="AP238" t="s">
        <v>31</v>
      </c>
    </row>
    <row r="239" spans="1:43" x14ac:dyDescent="0.2">
      <c r="A239">
        <v>237</v>
      </c>
      <c r="B239">
        <v>96</v>
      </c>
      <c r="C239">
        <v>6</v>
      </c>
      <c r="D239">
        <v>6000</v>
      </c>
      <c r="E239" t="s">
        <v>245</v>
      </c>
      <c r="F239" t="s">
        <v>29</v>
      </c>
      <c r="G239" t="s">
        <v>680</v>
      </c>
      <c r="H239">
        <v>5.768228716532888E-3</v>
      </c>
      <c r="I239">
        <v>-4.5364364581355196E-6</v>
      </c>
      <c r="J239">
        <v>2.11</v>
      </c>
      <c r="K239">
        <v>2.1202144577672</v>
      </c>
      <c r="L239" s="1">
        <v>43966</v>
      </c>
      <c r="M239" s="1">
        <v>43165</v>
      </c>
      <c r="N239" s="1">
        <v>43164</v>
      </c>
      <c r="R239">
        <v>-2.4313878536657216E-3</v>
      </c>
      <c r="S239">
        <v>-2.4313878536657216E-3</v>
      </c>
      <c r="T239" t="s">
        <v>32</v>
      </c>
      <c r="U239" t="s">
        <v>32</v>
      </c>
      <c r="V239">
        <v>170438832</v>
      </c>
      <c r="W239" t="s">
        <v>201</v>
      </c>
      <c r="X239" t="s">
        <v>247</v>
      </c>
      <c r="Y239">
        <v>6000</v>
      </c>
      <c r="Z239" t="s">
        <v>31</v>
      </c>
      <c r="AA239">
        <v>-3.3141895098413401E-3</v>
      </c>
      <c r="AB239">
        <v>104.36</v>
      </c>
      <c r="AC239" t="s">
        <v>33</v>
      </c>
      <c r="AD239" t="s">
        <v>33</v>
      </c>
      <c r="AE239" t="s">
        <v>41</v>
      </c>
      <c r="AF239">
        <v>7.741484913922328E-2</v>
      </c>
      <c r="AG239">
        <v>1.26</v>
      </c>
      <c r="AH239" t="s">
        <v>244</v>
      </c>
      <c r="AI239" t="s">
        <v>244</v>
      </c>
      <c r="AJ239">
        <v>1.8657806697915708E-3</v>
      </c>
      <c r="AK239">
        <v>2.7337576855606107E-3</v>
      </c>
      <c r="AL239">
        <v>8.6797701576903996E-4</v>
      </c>
      <c r="AM239" t="s">
        <v>41</v>
      </c>
      <c r="AN239" t="s">
        <v>144</v>
      </c>
      <c r="AO239" t="s">
        <v>33</v>
      </c>
      <c r="AP239" t="s">
        <v>31</v>
      </c>
      <c r="AQ239">
        <v>2.1163343881086687E-4</v>
      </c>
    </row>
    <row r="240" spans="1:43" x14ac:dyDescent="0.2">
      <c r="A240">
        <v>238</v>
      </c>
      <c r="B240">
        <v>102</v>
      </c>
      <c r="C240">
        <v>6</v>
      </c>
      <c r="F240" t="s">
        <v>29</v>
      </c>
      <c r="G240" t="s">
        <v>246</v>
      </c>
      <c r="I240">
        <v>3.436530280712864E-6</v>
      </c>
      <c r="J240">
        <v>8.8292836147567009</v>
      </c>
      <c r="K240">
        <v>8.8292836147567009</v>
      </c>
      <c r="L240" s="1"/>
      <c r="M240" s="1"/>
      <c r="N240" s="1">
        <v>43164</v>
      </c>
      <c r="R240">
        <v>-1.8407209487297778E-3</v>
      </c>
      <c r="S240">
        <v>-1.8407209487297778E-3</v>
      </c>
      <c r="T240" t="s">
        <v>32</v>
      </c>
      <c r="U240" t="s">
        <v>32</v>
      </c>
      <c r="W240" t="s">
        <v>201</v>
      </c>
      <c r="Z240" t="s">
        <v>31</v>
      </c>
      <c r="AA240">
        <v>2.5106298107990498E-3</v>
      </c>
      <c r="AC240" t="s">
        <v>33</v>
      </c>
      <c r="AD240" t="s">
        <v>33</v>
      </c>
      <c r="AE240" t="s">
        <v>41</v>
      </c>
      <c r="AF240">
        <v>2.4500000000000002</v>
      </c>
      <c r="AG240">
        <v>2.4500000000000002</v>
      </c>
      <c r="AH240" t="s">
        <v>244</v>
      </c>
      <c r="AI240" t="s">
        <v>244</v>
      </c>
      <c r="AJ240">
        <v>-1.8669479928961001E-3</v>
      </c>
      <c r="AK240">
        <v>0</v>
      </c>
      <c r="AL240">
        <v>1.8669479928961001E-3</v>
      </c>
      <c r="AM240" t="s">
        <v>41</v>
      </c>
      <c r="AN240" t="s">
        <v>33</v>
      </c>
      <c r="AO240" t="s">
        <v>33</v>
      </c>
      <c r="AP240" t="s">
        <v>31</v>
      </c>
    </row>
    <row r="241" spans="1:43" x14ac:dyDescent="0.2">
      <c r="A241">
        <v>239</v>
      </c>
      <c r="B241">
        <v>107</v>
      </c>
      <c r="C241">
        <v>6</v>
      </c>
      <c r="D241">
        <v>10000000</v>
      </c>
      <c r="E241" t="s">
        <v>245</v>
      </c>
      <c r="F241" t="s">
        <v>29</v>
      </c>
      <c r="G241" t="s">
        <v>681</v>
      </c>
      <c r="H241">
        <v>3.6606417673356754E-4</v>
      </c>
      <c r="I241">
        <v>1.634988209334818E-7</v>
      </c>
      <c r="J241">
        <v>2.19</v>
      </c>
      <c r="K241">
        <v>2.1969797483666</v>
      </c>
      <c r="L241" s="1">
        <v>44012</v>
      </c>
      <c r="M241" s="1">
        <v>43165</v>
      </c>
      <c r="N241" s="1">
        <v>43164</v>
      </c>
      <c r="R241">
        <v>-2.0737663149124656E-4</v>
      </c>
      <c r="S241">
        <v>-2.0737663149124656E-4</v>
      </c>
      <c r="T241" t="s">
        <v>39</v>
      </c>
      <c r="U241" t="s">
        <v>39</v>
      </c>
      <c r="V241">
        <v>10421294</v>
      </c>
      <c r="W241" t="s">
        <v>201</v>
      </c>
      <c r="X241" t="s">
        <v>247</v>
      </c>
      <c r="Y241">
        <v>10000000</v>
      </c>
      <c r="Z241" t="s">
        <v>31</v>
      </c>
      <c r="AA241">
        <v>1.1944751837919067E-4</v>
      </c>
      <c r="AB241">
        <v>103.2</v>
      </c>
      <c r="AC241" t="s">
        <v>33</v>
      </c>
      <c r="AD241" t="s">
        <v>33</v>
      </c>
      <c r="AE241" t="s">
        <v>41</v>
      </c>
      <c r="AF241">
        <v>3.9899999999999998E-2</v>
      </c>
      <c r="AG241">
        <v>3.99</v>
      </c>
      <c r="AH241" t="s">
        <v>244</v>
      </c>
      <c r="AI241" t="s">
        <v>244</v>
      </c>
      <c r="AJ241">
        <v>-7.8841487470290568E-4</v>
      </c>
      <c r="AK241">
        <v>1.6715259211578428E-4</v>
      </c>
      <c r="AL241">
        <v>9.5556746681868998E-4</v>
      </c>
      <c r="AM241" t="s">
        <v>41</v>
      </c>
      <c r="AN241" t="s">
        <v>144</v>
      </c>
      <c r="AO241" t="s">
        <v>33</v>
      </c>
      <c r="AP241" t="s">
        <v>31</v>
      </c>
      <c r="AQ241">
        <v>6.6693884254197919E-6</v>
      </c>
    </row>
    <row r="242" spans="1:43" x14ac:dyDescent="0.2">
      <c r="A242">
        <v>240</v>
      </c>
      <c r="B242">
        <v>102</v>
      </c>
      <c r="C242">
        <v>6</v>
      </c>
      <c r="F242" t="s">
        <v>29</v>
      </c>
      <c r="G242" t="s">
        <v>1032</v>
      </c>
      <c r="I242">
        <v>1.9753406802848154E-6</v>
      </c>
      <c r="J242">
        <v>8.6521883838814997</v>
      </c>
      <c r="K242">
        <v>8.6521883838814997</v>
      </c>
      <c r="L242" s="1"/>
      <c r="M242" s="1"/>
      <c r="N242" s="1">
        <v>43164</v>
      </c>
      <c r="R242">
        <v>-1.8407209487297778E-3</v>
      </c>
      <c r="S242">
        <v>-1.8407209487297778E-3</v>
      </c>
      <c r="T242" t="s">
        <v>32</v>
      </c>
      <c r="U242" t="s">
        <v>32</v>
      </c>
      <c r="AA242">
        <v>1.443126873125756E-3</v>
      </c>
      <c r="AC242" t="s">
        <v>33</v>
      </c>
      <c r="AD242" t="s">
        <v>33</v>
      </c>
      <c r="AF242">
        <v>2.37</v>
      </c>
      <c r="AG242">
        <v>2.37</v>
      </c>
      <c r="AH242" t="s">
        <v>244</v>
      </c>
      <c r="AI242" t="s">
        <v>244</v>
      </c>
      <c r="AJ242">
        <v>-1.0731342421282999E-3</v>
      </c>
      <c r="AK242">
        <v>0</v>
      </c>
      <c r="AL242">
        <v>1.0731342421282999E-3</v>
      </c>
      <c r="AN242" t="s">
        <v>33</v>
      </c>
      <c r="AO242" t="s">
        <v>33</v>
      </c>
    </row>
    <row r="243" spans="1:43" x14ac:dyDescent="0.2">
      <c r="A243">
        <v>241</v>
      </c>
      <c r="B243">
        <v>96</v>
      </c>
      <c r="C243">
        <v>6</v>
      </c>
      <c r="F243" t="s">
        <v>29</v>
      </c>
      <c r="G243" t="s">
        <v>682</v>
      </c>
      <c r="I243">
        <v>3.3909427985065808E-6</v>
      </c>
      <c r="J243">
        <v>1.3462485099299999</v>
      </c>
      <c r="K243">
        <v>1.3462485099299999</v>
      </c>
      <c r="L243" s="1"/>
      <c r="M243" s="1"/>
      <c r="N243" s="1">
        <v>43164</v>
      </c>
      <c r="R243">
        <v>-2.4313878536657216E-3</v>
      </c>
      <c r="S243">
        <v>-2.4313878536657216E-3</v>
      </c>
      <c r="T243" t="s">
        <v>32</v>
      </c>
      <c r="U243" t="s">
        <v>32</v>
      </c>
      <c r="W243" t="s">
        <v>683</v>
      </c>
      <c r="Z243" t="s">
        <v>31</v>
      </c>
      <c r="AA243">
        <v>2.4773249124052476E-3</v>
      </c>
      <c r="AC243" t="s">
        <v>33</v>
      </c>
      <c r="AD243" t="s">
        <v>33</v>
      </c>
      <c r="AE243" t="s">
        <v>35</v>
      </c>
      <c r="AF243">
        <v>1.31</v>
      </c>
      <c r="AG243">
        <v>1.31</v>
      </c>
      <c r="AH243" t="s">
        <v>244</v>
      </c>
      <c r="AI243" t="s">
        <v>244</v>
      </c>
      <c r="AJ243">
        <v>-1.3946531785926999E-3</v>
      </c>
      <c r="AK243">
        <v>0</v>
      </c>
      <c r="AL243">
        <v>1.3946531785926999E-3</v>
      </c>
      <c r="AM243" t="s">
        <v>35</v>
      </c>
      <c r="AN243" t="s">
        <v>33</v>
      </c>
      <c r="AO243" t="s">
        <v>33</v>
      </c>
      <c r="AP243" t="s">
        <v>31</v>
      </c>
    </row>
    <row r="244" spans="1:43" x14ac:dyDescent="0.2">
      <c r="A244">
        <v>242</v>
      </c>
      <c r="B244">
        <v>110</v>
      </c>
      <c r="C244">
        <v>6</v>
      </c>
      <c r="D244">
        <v>200000000</v>
      </c>
      <c r="E244" t="s">
        <v>272</v>
      </c>
      <c r="F244" t="s">
        <v>29</v>
      </c>
      <c r="G244" t="s">
        <v>433</v>
      </c>
      <c r="H244">
        <v>1.0266491075037411E-2</v>
      </c>
      <c r="I244">
        <v>1.1958666103609161E-6</v>
      </c>
      <c r="J244">
        <v>3.07</v>
      </c>
      <c r="K244">
        <v>3.0787735880013001</v>
      </c>
      <c r="L244" s="1">
        <v>44666</v>
      </c>
      <c r="M244" s="1">
        <v>43165</v>
      </c>
      <c r="N244" s="1">
        <v>43164</v>
      </c>
      <c r="R244">
        <v>8.9476952919579559E-4</v>
      </c>
      <c r="S244">
        <v>8.9476952919579559E-4</v>
      </c>
      <c r="T244" t="s">
        <v>39</v>
      </c>
      <c r="U244" t="s">
        <v>39</v>
      </c>
      <c r="V244">
        <v>208493342</v>
      </c>
      <c r="W244" t="s">
        <v>273</v>
      </c>
      <c r="X244" t="s">
        <v>434</v>
      </c>
      <c r="Y244">
        <v>200000000</v>
      </c>
      <c r="Z244" t="s">
        <v>31</v>
      </c>
      <c r="AA244">
        <v>8.7366562097876313E-4</v>
      </c>
      <c r="AB244">
        <v>102.25</v>
      </c>
      <c r="AC244" t="s">
        <v>33</v>
      </c>
      <c r="AD244" t="s">
        <v>33</v>
      </c>
      <c r="AE244" t="s">
        <v>35</v>
      </c>
      <c r="AF244">
        <v>4.3400000000000001E-2</v>
      </c>
      <c r="AG244">
        <v>4.3499999999999996</v>
      </c>
      <c r="AH244" t="s">
        <v>244</v>
      </c>
      <c r="AI244" t="s">
        <v>244</v>
      </c>
      <c r="AJ244">
        <v>1.3365079736630523E-3</v>
      </c>
      <c r="AK244">
        <v>3.3441339006636522E-3</v>
      </c>
      <c r="AL244">
        <v>2.0076259270005998E-3</v>
      </c>
      <c r="AM244" t="s">
        <v>35</v>
      </c>
      <c r="AN244" t="s">
        <v>144</v>
      </c>
      <c r="AO244" t="s">
        <v>33</v>
      </c>
      <c r="AP244" t="s">
        <v>31</v>
      </c>
      <c r="AQ244">
        <v>1.4513541128880251E-4</v>
      </c>
    </row>
    <row r="245" spans="1:43" x14ac:dyDescent="0.2">
      <c r="A245">
        <v>243</v>
      </c>
      <c r="B245">
        <v>110</v>
      </c>
      <c r="C245">
        <v>6</v>
      </c>
      <c r="D245">
        <v>500000000</v>
      </c>
      <c r="E245" t="s">
        <v>272</v>
      </c>
      <c r="F245" t="s">
        <v>29</v>
      </c>
      <c r="G245" t="s">
        <v>684</v>
      </c>
      <c r="H245">
        <v>2.8239303582828036E-2</v>
      </c>
      <c r="I245">
        <v>5.2234362932707753E-6</v>
      </c>
      <c r="J245">
        <v>3.4</v>
      </c>
      <c r="K245">
        <v>3.4049600081415998</v>
      </c>
      <c r="L245" s="1">
        <v>44525</v>
      </c>
      <c r="M245" s="1">
        <v>43165</v>
      </c>
      <c r="N245" s="1">
        <v>43164</v>
      </c>
      <c r="R245">
        <v>8.9476952919579559E-4</v>
      </c>
      <c r="S245">
        <v>8.9476952919579559E-4</v>
      </c>
      <c r="T245" t="s">
        <v>39</v>
      </c>
      <c r="U245" t="s">
        <v>39</v>
      </c>
      <c r="V245">
        <v>517825696</v>
      </c>
      <c r="W245" t="s">
        <v>273</v>
      </c>
      <c r="X245" t="s">
        <v>434</v>
      </c>
      <c r="Y245">
        <v>500000000</v>
      </c>
      <c r="Z245" t="s">
        <v>31</v>
      </c>
      <c r="AA245">
        <v>3.8160917557737745E-3</v>
      </c>
      <c r="AB245">
        <v>102.15</v>
      </c>
      <c r="AC245" t="s">
        <v>33</v>
      </c>
      <c r="AD245" t="s">
        <v>33</v>
      </c>
      <c r="AE245" t="s">
        <v>35</v>
      </c>
      <c r="AF245">
        <v>4.4400000000000002E-2</v>
      </c>
      <c r="AG245">
        <v>4.46</v>
      </c>
      <c r="AH245" t="s">
        <v>244</v>
      </c>
      <c r="AI245" t="s">
        <v>244</v>
      </c>
      <c r="AJ245">
        <v>5.8377449419466879E-3</v>
      </c>
      <c r="AK245">
        <v>8.3056775243611873E-3</v>
      </c>
      <c r="AL245">
        <v>2.4679325824144998E-3</v>
      </c>
      <c r="AM245" t="s">
        <v>35</v>
      </c>
      <c r="AN245" t="s">
        <v>144</v>
      </c>
      <c r="AO245" t="s">
        <v>33</v>
      </c>
      <c r="AP245" t="s">
        <v>31</v>
      </c>
      <c r="AQ245">
        <v>3.6877208208163675E-4</v>
      </c>
    </row>
    <row r="246" spans="1:43" x14ac:dyDescent="0.2">
      <c r="A246">
        <v>244</v>
      </c>
      <c r="B246">
        <v>93</v>
      </c>
      <c r="C246">
        <v>6</v>
      </c>
      <c r="F246" t="s">
        <v>29</v>
      </c>
      <c r="G246" t="s">
        <v>345</v>
      </c>
      <c r="I246">
        <v>1.8298606932471882E-6</v>
      </c>
      <c r="J246">
        <v>0.41917808219177999</v>
      </c>
      <c r="K246">
        <v>0.41917808219177999</v>
      </c>
      <c r="L246" s="1"/>
      <c r="M246" s="1"/>
      <c r="N246" s="1">
        <v>43164</v>
      </c>
      <c r="R246">
        <v>-2.1922679503766566E-3</v>
      </c>
      <c r="S246">
        <v>-2.1922679503766566E-3</v>
      </c>
      <c r="T246" t="s">
        <v>32</v>
      </c>
      <c r="U246" t="s">
        <v>32</v>
      </c>
      <c r="W246" t="s">
        <v>346</v>
      </c>
      <c r="Z246" t="s">
        <v>31</v>
      </c>
      <c r="AA246">
        <v>1.336843394588922E-3</v>
      </c>
      <c r="AC246" t="s">
        <v>33</v>
      </c>
      <c r="AD246" t="s">
        <v>33</v>
      </c>
      <c r="AE246" t="s">
        <v>41</v>
      </c>
      <c r="AF246">
        <v>1.1599999999999999</v>
      </c>
      <c r="AG246">
        <v>1.1599999999999999</v>
      </c>
      <c r="AH246" t="s">
        <v>244</v>
      </c>
      <c r="AI246" t="s">
        <v>244</v>
      </c>
      <c r="AJ246">
        <v>-8.3468842982118005E-4</v>
      </c>
      <c r="AK246">
        <v>0</v>
      </c>
      <c r="AL246">
        <v>8.3468842982118005E-4</v>
      </c>
      <c r="AM246" t="s">
        <v>41</v>
      </c>
      <c r="AN246" t="s">
        <v>33</v>
      </c>
      <c r="AO246" t="s">
        <v>33</v>
      </c>
      <c r="AP246" t="s">
        <v>31</v>
      </c>
    </row>
    <row r="247" spans="1:43" x14ac:dyDescent="0.2">
      <c r="A247">
        <v>245</v>
      </c>
      <c r="B247">
        <v>104</v>
      </c>
      <c r="C247">
        <v>6</v>
      </c>
      <c r="F247" t="s">
        <v>29</v>
      </c>
      <c r="G247" t="s">
        <v>413</v>
      </c>
      <c r="I247">
        <v>-7.6556122934410623E-8</v>
      </c>
      <c r="J247">
        <v>0.85329668323565999</v>
      </c>
      <c r="K247">
        <v>0.85329668323565999</v>
      </c>
      <c r="L247" s="1"/>
      <c r="M247" s="1"/>
      <c r="N247" s="1">
        <v>43164</v>
      </c>
      <c r="R247">
        <v>4.8543139737796264E-5</v>
      </c>
      <c r="S247">
        <v>4.8543139737796264E-5</v>
      </c>
      <c r="T247" t="s">
        <v>39</v>
      </c>
      <c r="U247" t="s">
        <v>39</v>
      </c>
      <c r="W247" t="s">
        <v>346</v>
      </c>
      <c r="Z247" t="s">
        <v>31</v>
      </c>
      <c r="AA247">
        <v>-5.5929693248172937E-5</v>
      </c>
      <c r="AC247" t="s">
        <v>33</v>
      </c>
      <c r="AD247" t="s">
        <v>33</v>
      </c>
      <c r="AE247" t="s">
        <v>41</v>
      </c>
      <c r="AF247">
        <v>3.54</v>
      </c>
      <c r="AG247">
        <v>3.54</v>
      </c>
      <c r="AH247" t="s">
        <v>244</v>
      </c>
      <c r="AI247" t="s">
        <v>244</v>
      </c>
      <c r="AJ247">
        <v>-1.5770739871364999E-3</v>
      </c>
      <c r="AK247">
        <v>0</v>
      </c>
      <c r="AL247">
        <v>1.5770739871364999E-3</v>
      </c>
      <c r="AM247" t="s">
        <v>41</v>
      </c>
      <c r="AN247" t="s">
        <v>33</v>
      </c>
      <c r="AO247" t="s">
        <v>33</v>
      </c>
      <c r="AP247" t="s">
        <v>31</v>
      </c>
    </row>
    <row r="248" spans="1:43" x14ac:dyDescent="0.2">
      <c r="A248">
        <v>246</v>
      </c>
      <c r="B248">
        <v>107</v>
      </c>
      <c r="C248">
        <v>6</v>
      </c>
      <c r="F248" t="s">
        <v>29</v>
      </c>
      <c r="G248" t="s">
        <v>685</v>
      </c>
      <c r="I248">
        <v>3.24852698344962E-7</v>
      </c>
      <c r="J248">
        <v>1.2713671845543</v>
      </c>
      <c r="K248">
        <v>1.2713671845543</v>
      </c>
      <c r="L248" s="1"/>
      <c r="M248" s="1"/>
      <c r="N248" s="1">
        <v>43164</v>
      </c>
      <c r="R248">
        <v>-2.0737663149124656E-4</v>
      </c>
      <c r="S248">
        <v>-2.0737663149124656E-4</v>
      </c>
      <c r="T248" t="s">
        <v>39</v>
      </c>
      <c r="U248" t="s">
        <v>39</v>
      </c>
      <c r="W248" t="s">
        <v>346</v>
      </c>
      <c r="Z248" t="s">
        <v>31</v>
      </c>
      <c r="AA248">
        <v>2.373280029455146E-4</v>
      </c>
      <c r="AC248" t="s">
        <v>33</v>
      </c>
      <c r="AD248" t="s">
        <v>33</v>
      </c>
      <c r="AE248" t="s">
        <v>41</v>
      </c>
      <c r="AF248">
        <v>3.74</v>
      </c>
      <c r="AG248">
        <v>3.74</v>
      </c>
      <c r="AH248" t="s">
        <v>244</v>
      </c>
      <c r="AI248" t="s">
        <v>244</v>
      </c>
      <c r="AJ248">
        <v>-1.5664865226566E-3</v>
      </c>
      <c r="AK248">
        <v>0</v>
      </c>
      <c r="AL248">
        <v>1.5664865226566E-3</v>
      </c>
      <c r="AM248" t="s">
        <v>41</v>
      </c>
      <c r="AN248" t="s">
        <v>33</v>
      </c>
      <c r="AO248" t="s">
        <v>33</v>
      </c>
      <c r="AP248" t="s">
        <v>31</v>
      </c>
    </row>
    <row r="249" spans="1:43" x14ac:dyDescent="0.2">
      <c r="A249">
        <v>247</v>
      </c>
      <c r="B249">
        <v>107</v>
      </c>
      <c r="C249">
        <v>6</v>
      </c>
      <c r="D249">
        <v>430000000</v>
      </c>
      <c r="E249" t="s">
        <v>344</v>
      </c>
      <c r="F249" t="s">
        <v>29</v>
      </c>
      <c r="G249" t="s">
        <v>426</v>
      </c>
      <c r="H249">
        <v>1.4059678624874419E-2</v>
      </c>
      <c r="I249">
        <v>-1.1705171294857027E-6</v>
      </c>
      <c r="J249">
        <v>1.95</v>
      </c>
      <c r="K249">
        <v>1.9541994467257999</v>
      </c>
      <c r="L249" s="1">
        <v>43922</v>
      </c>
      <c r="M249" s="1">
        <v>43165</v>
      </c>
      <c r="N249" s="1">
        <v>43164</v>
      </c>
      <c r="R249">
        <v>-2.0737663149124656E-4</v>
      </c>
      <c r="S249">
        <v>-2.0737663149124656E-4</v>
      </c>
      <c r="T249" t="s">
        <v>39</v>
      </c>
      <c r="U249" t="s">
        <v>39</v>
      </c>
      <c r="V249">
        <v>449520306</v>
      </c>
      <c r="W249" t="s">
        <v>346</v>
      </c>
      <c r="X249" t="s">
        <v>347</v>
      </c>
      <c r="Y249">
        <v>430000000</v>
      </c>
      <c r="Z249" t="s">
        <v>31</v>
      </c>
      <c r="AA249">
        <v>-8.5514602208834123E-4</v>
      </c>
      <c r="AB249">
        <v>102.25</v>
      </c>
      <c r="AC249" t="s">
        <v>33</v>
      </c>
      <c r="AD249" t="s">
        <v>33</v>
      </c>
      <c r="AE249" t="s">
        <v>41</v>
      </c>
      <c r="AF249">
        <v>4.1000000000000002E-2</v>
      </c>
      <c r="AG249">
        <v>4.1100000000000003</v>
      </c>
      <c r="AH249" t="s">
        <v>244</v>
      </c>
      <c r="AI249" t="s">
        <v>244</v>
      </c>
      <c r="AJ249">
        <v>5.6444022697664017E-3</v>
      </c>
      <c r="AK249">
        <v>7.2100916024997021E-3</v>
      </c>
      <c r="AL249">
        <v>1.5656893327333E-3</v>
      </c>
      <c r="AM249" t="s">
        <v>41</v>
      </c>
      <c r="AN249" t="s">
        <v>144</v>
      </c>
      <c r="AO249" t="s">
        <v>33</v>
      </c>
      <c r="AP249" t="s">
        <v>31</v>
      </c>
      <c r="AQ249">
        <v>2.956137557024878E-4</v>
      </c>
    </row>
    <row r="250" spans="1:43" x14ac:dyDescent="0.2">
      <c r="A250">
        <v>248</v>
      </c>
      <c r="B250">
        <v>96</v>
      </c>
      <c r="C250">
        <v>6</v>
      </c>
      <c r="D250">
        <v>10000</v>
      </c>
      <c r="E250" t="s">
        <v>344</v>
      </c>
      <c r="F250" t="s">
        <v>29</v>
      </c>
      <c r="G250" t="s">
        <v>393</v>
      </c>
      <c r="H250">
        <v>1.0278909779878807E-2</v>
      </c>
      <c r="I250">
        <v>-7.3913127882466501E-6</v>
      </c>
      <c r="J250">
        <v>2.35</v>
      </c>
      <c r="K250">
        <v>2.3577369677583002</v>
      </c>
      <c r="L250" s="1">
        <v>44044</v>
      </c>
      <c r="M250" s="1">
        <v>43165</v>
      </c>
      <c r="N250" s="1">
        <v>43164</v>
      </c>
      <c r="R250">
        <v>-2.4313878536657216E-3</v>
      </c>
      <c r="S250">
        <v>-2.4313878536657216E-3</v>
      </c>
      <c r="T250" t="s">
        <v>32</v>
      </c>
      <c r="U250" t="s">
        <v>32</v>
      </c>
      <c r="V250">
        <v>272701624</v>
      </c>
      <c r="W250" t="s">
        <v>346</v>
      </c>
      <c r="X250" t="s">
        <v>347</v>
      </c>
      <c r="Y250">
        <v>10000</v>
      </c>
      <c r="Z250" t="s">
        <v>31</v>
      </c>
      <c r="AA250">
        <v>-5.3998797366228658E-3</v>
      </c>
      <c r="AB250">
        <v>100.98</v>
      </c>
      <c r="AC250" t="s">
        <v>33</v>
      </c>
      <c r="AD250" t="s">
        <v>33</v>
      </c>
      <c r="AE250" t="s">
        <v>41</v>
      </c>
      <c r="AF250">
        <v>8.2814849139223282E-2</v>
      </c>
      <c r="AG250">
        <v>1.76</v>
      </c>
      <c r="AH250" t="s">
        <v>244</v>
      </c>
      <c r="AI250" t="s">
        <v>244</v>
      </c>
      <c r="AJ250">
        <v>3.0399562855029554E-3</v>
      </c>
      <c r="AK250">
        <v>4.3740041616505557E-3</v>
      </c>
      <c r="AL250">
        <v>1.3340478761476001E-3</v>
      </c>
      <c r="AM250" t="s">
        <v>41</v>
      </c>
      <c r="AN250" t="s">
        <v>144</v>
      </c>
      <c r="AO250" t="s">
        <v>33</v>
      </c>
      <c r="AP250" t="s">
        <v>31</v>
      </c>
      <c r="AQ250">
        <v>3.6223249478142556E-4</v>
      </c>
    </row>
    <row r="251" spans="1:43" x14ac:dyDescent="0.2">
      <c r="A251">
        <v>249</v>
      </c>
      <c r="B251">
        <v>110</v>
      </c>
      <c r="C251">
        <v>6</v>
      </c>
      <c r="D251">
        <v>500000000</v>
      </c>
      <c r="E251" t="s">
        <v>344</v>
      </c>
      <c r="F251" t="s">
        <v>29</v>
      </c>
      <c r="G251" t="s">
        <v>435</v>
      </c>
      <c r="H251">
        <v>2.7314590435348458E-2</v>
      </c>
      <c r="I251">
        <v>6.0129979577134473E-6</v>
      </c>
      <c r="J251">
        <v>3.29</v>
      </c>
      <c r="K251">
        <v>3.2918004969395001</v>
      </c>
      <c r="L251" s="1">
        <v>44484</v>
      </c>
      <c r="M251" s="1">
        <v>43165</v>
      </c>
      <c r="N251" s="1">
        <v>43164</v>
      </c>
      <c r="R251">
        <v>8.9476952919579559E-4</v>
      </c>
      <c r="S251">
        <v>8.9476952919579559E-4</v>
      </c>
      <c r="T251" t="s">
        <v>39</v>
      </c>
      <c r="U251" t="s">
        <v>39</v>
      </c>
      <c r="V251">
        <v>517615565</v>
      </c>
      <c r="W251" t="s">
        <v>346</v>
      </c>
      <c r="X251" t="s">
        <v>347</v>
      </c>
      <c r="Y251">
        <v>500000000</v>
      </c>
      <c r="Z251" t="s">
        <v>31</v>
      </c>
      <c r="AA251">
        <v>4.3929227132483255E-3</v>
      </c>
      <c r="AB251">
        <v>101.54</v>
      </c>
      <c r="AC251" t="s">
        <v>33</v>
      </c>
      <c r="AD251" t="s">
        <v>33</v>
      </c>
      <c r="AE251" t="s">
        <v>41</v>
      </c>
      <c r="AF251">
        <v>4.6100000000000002E-2</v>
      </c>
      <c r="AG251">
        <v>4.62</v>
      </c>
      <c r="AH251" t="s">
        <v>244</v>
      </c>
      <c r="AI251" t="s">
        <v>244</v>
      </c>
      <c r="AJ251">
        <v>6.7201639768822178E-3</v>
      </c>
      <c r="AK251">
        <v>8.3023071232062179E-3</v>
      </c>
      <c r="AL251">
        <v>1.5821431463239998E-3</v>
      </c>
      <c r="AM251" t="s">
        <v>41</v>
      </c>
      <c r="AN251" t="s">
        <v>144</v>
      </c>
      <c r="AO251" t="s">
        <v>33</v>
      </c>
      <c r="AP251" t="s">
        <v>31</v>
      </c>
      <c r="AQ251">
        <v>3.8273635837980668E-4</v>
      </c>
    </row>
    <row r="252" spans="1:43" x14ac:dyDescent="0.2">
      <c r="A252">
        <v>250</v>
      </c>
      <c r="B252">
        <v>96</v>
      </c>
      <c r="C252">
        <v>6</v>
      </c>
      <c r="F252" t="s">
        <v>29</v>
      </c>
      <c r="G252" t="s">
        <v>394</v>
      </c>
      <c r="I252">
        <v>8.2798428922752231E-6</v>
      </c>
      <c r="J252">
        <v>2.8860737202340001</v>
      </c>
      <c r="K252">
        <v>2.8860737202340001</v>
      </c>
      <c r="L252" s="1"/>
      <c r="M252" s="1"/>
      <c r="N252" s="1">
        <v>43164</v>
      </c>
      <c r="R252">
        <v>-2.4313878536657216E-3</v>
      </c>
      <c r="S252">
        <v>-2.4313878536657216E-3</v>
      </c>
      <c r="T252" t="s">
        <v>32</v>
      </c>
      <c r="U252" t="s">
        <v>32</v>
      </c>
      <c r="W252" t="s">
        <v>346</v>
      </c>
      <c r="Z252" t="s">
        <v>31</v>
      </c>
      <c r="AA252">
        <v>6.0490141788498005E-3</v>
      </c>
      <c r="AC252" t="s">
        <v>33</v>
      </c>
      <c r="AD252" t="s">
        <v>33</v>
      </c>
      <c r="AE252" t="s">
        <v>41</v>
      </c>
      <c r="AF252">
        <v>1.82</v>
      </c>
      <c r="AG252">
        <v>1.82</v>
      </c>
      <c r="AH252" t="s">
        <v>244</v>
      </c>
      <c r="AI252" t="s">
        <v>244</v>
      </c>
      <c r="AJ252">
        <v>-3.4053978182839E-3</v>
      </c>
      <c r="AK252">
        <v>0</v>
      </c>
      <c r="AL252">
        <v>3.4053978182839E-3</v>
      </c>
      <c r="AM252" t="s">
        <v>41</v>
      </c>
      <c r="AN252" t="s">
        <v>33</v>
      </c>
      <c r="AO252" t="s">
        <v>33</v>
      </c>
      <c r="AP252" t="s">
        <v>31</v>
      </c>
    </row>
    <row r="253" spans="1:43" x14ac:dyDescent="0.2">
      <c r="A253">
        <v>251</v>
      </c>
      <c r="B253">
        <v>99</v>
      </c>
      <c r="C253">
        <v>6</v>
      </c>
      <c r="D253">
        <v>9000</v>
      </c>
      <c r="E253" t="s">
        <v>344</v>
      </c>
      <c r="F253" t="s">
        <v>29</v>
      </c>
      <c r="G253" t="s">
        <v>686</v>
      </c>
      <c r="H253">
        <v>1.4965065341077525E-2</v>
      </c>
      <c r="I253">
        <v>-1.4405383374922535E-6</v>
      </c>
      <c r="J253">
        <v>3.86</v>
      </c>
      <c r="K253">
        <v>3.8628516517110998</v>
      </c>
      <c r="L253" s="1">
        <v>44621</v>
      </c>
      <c r="M253" s="1">
        <v>43165</v>
      </c>
      <c r="N253" s="1">
        <v>43164</v>
      </c>
      <c r="R253">
        <v>-2.4229989783995497E-3</v>
      </c>
      <c r="S253">
        <v>-2.4229989783995497E-3</v>
      </c>
      <c r="T253" t="s">
        <v>32</v>
      </c>
      <c r="U253" t="s">
        <v>32</v>
      </c>
      <c r="V253">
        <v>241712909</v>
      </c>
      <c r="W253" t="s">
        <v>346</v>
      </c>
      <c r="X253" t="s">
        <v>347</v>
      </c>
      <c r="Y253">
        <v>9000</v>
      </c>
      <c r="Z253" t="s">
        <v>31</v>
      </c>
      <c r="AA253">
        <v>-1.0524157211723227E-3</v>
      </c>
      <c r="AB253">
        <v>99.62</v>
      </c>
      <c r="AC253" t="s">
        <v>33</v>
      </c>
      <c r="AD253" t="s">
        <v>33</v>
      </c>
      <c r="AE253" t="s">
        <v>41</v>
      </c>
      <c r="AF253">
        <v>8.5014849139223289E-2</v>
      </c>
      <c r="AG253">
        <v>2</v>
      </c>
      <c r="AH253" t="s">
        <v>244</v>
      </c>
      <c r="AI253" t="s">
        <v>244</v>
      </c>
      <c r="AJ253">
        <v>5.945270098478392E-4</v>
      </c>
      <c r="AK253">
        <v>3.8769599329216389E-3</v>
      </c>
      <c r="AL253">
        <v>3.2824329230737997E-3</v>
      </c>
      <c r="AM253" t="s">
        <v>41</v>
      </c>
      <c r="AN253" t="s">
        <v>144</v>
      </c>
      <c r="AO253" t="s">
        <v>33</v>
      </c>
      <c r="AP253" t="s">
        <v>31</v>
      </c>
      <c r="AQ253">
        <v>3.2959916381614638E-4</v>
      </c>
    </row>
    <row r="254" spans="1:43" x14ac:dyDescent="0.2">
      <c r="A254">
        <v>252</v>
      </c>
      <c r="B254">
        <v>99</v>
      </c>
      <c r="C254">
        <v>6</v>
      </c>
      <c r="F254" t="s">
        <v>29</v>
      </c>
      <c r="G254" t="s">
        <v>687</v>
      </c>
      <c r="I254">
        <v>5.9897675902778829E-6</v>
      </c>
      <c r="J254">
        <v>4.1607627262460003</v>
      </c>
      <c r="K254">
        <v>4.1607627262460003</v>
      </c>
      <c r="L254" s="1"/>
      <c r="M254" s="1"/>
      <c r="N254" s="1">
        <v>43164</v>
      </c>
      <c r="R254">
        <v>-2.4229989783995497E-3</v>
      </c>
      <c r="S254">
        <v>-2.4229989783995497E-3</v>
      </c>
      <c r="T254" t="s">
        <v>32</v>
      </c>
      <c r="U254" t="s">
        <v>32</v>
      </c>
      <c r="W254" t="s">
        <v>346</v>
      </c>
      <c r="Z254" t="s">
        <v>31</v>
      </c>
      <c r="AA254">
        <v>4.3759512774583153E-3</v>
      </c>
      <c r="AC254" t="s">
        <v>33</v>
      </c>
      <c r="AD254" t="s">
        <v>33</v>
      </c>
      <c r="AE254" t="s">
        <v>41</v>
      </c>
      <c r="AF254">
        <v>1.98</v>
      </c>
      <c r="AG254">
        <v>1.98</v>
      </c>
      <c r="AH254" t="s">
        <v>244</v>
      </c>
      <c r="AI254" t="s">
        <v>244</v>
      </c>
      <c r="AJ254">
        <v>-2.4720470968726E-3</v>
      </c>
      <c r="AK254">
        <v>0</v>
      </c>
      <c r="AL254">
        <v>2.4720470968726E-3</v>
      </c>
      <c r="AM254" t="s">
        <v>41</v>
      </c>
      <c r="AN254" t="s">
        <v>33</v>
      </c>
      <c r="AO254" t="s">
        <v>33</v>
      </c>
      <c r="AP254" t="s">
        <v>31</v>
      </c>
    </row>
    <row r="255" spans="1:43" x14ac:dyDescent="0.2">
      <c r="A255">
        <v>253</v>
      </c>
      <c r="B255">
        <v>99</v>
      </c>
      <c r="C255">
        <v>6</v>
      </c>
      <c r="D255">
        <v>25000</v>
      </c>
      <c r="E255" t="s">
        <v>344</v>
      </c>
      <c r="F255" t="s">
        <v>29</v>
      </c>
      <c r="G255" t="s">
        <v>688</v>
      </c>
      <c r="H255">
        <v>4.8396367452475338E-2</v>
      </c>
      <c r="I255">
        <v>-2.0459841248073733E-5</v>
      </c>
      <c r="J255">
        <v>4.42</v>
      </c>
      <c r="K255">
        <v>4.4270294084796999</v>
      </c>
      <c r="L255" s="1">
        <v>44866</v>
      </c>
      <c r="M255" s="1">
        <v>43165</v>
      </c>
      <c r="N255" s="1">
        <v>43164</v>
      </c>
      <c r="R255">
        <v>-2.4229989783995497E-3</v>
      </c>
      <c r="S255">
        <v>-2.4229989783995497E-3</v>
      </c>
      <c r="T255" t="s">
        <v>32</v>
      </c>
      <c r="U255" t="s">
        <v>32</v>
      </c>
      <c r="V255">
        <v>682651468</v>
      </c>
      <c r="W255" t="s">
        <v>346</v>
      </c>
      <c r="X255" t="s">
        <v>347</v>
      </c>
      <c r="Y255">
        <v>25000</v>
      </c>
      <c r="Z255" t="s">
        <v>31</v>
      </c>
      <c r="AA255">
        <v>-1.494736934224671E-2</v>
      </c>
      <c r="AB255">
        <v>100.56</v>
      </c>
      <c r="AC255" t="s">
        <v>33</v>
      </c>
      <c r="AD255" t="s">
        <v>33</v>
      </c>
      <c r="AE255" t="s">
        <v>41</v>
      </c>
      <c r="AF255">
        <v>8.5714849139223281E-2</v>
      </c>
      <c r="AG255">
        <v>2.06</v>
      </c>
      <c r="AH255" t="s">
        <v>244</v>
      </c>
      <c r="AI255" t="s">
        <v>244</v>
      </c>
      <c r="AJ255">
        <v>8.4440156312356185E-3</v>
      </c>
      <c r="AK255">
        <v>1.0949404401012519E-2</v>
      </c>
      <c r="AL255">
        <v>2.5053887697769001E-3</v>
      </c>
      <c r="AM255" t="s">
        <v>41</v>
      </c>
      <c r="AN255" t="s">
        <v>144</v>
      </c>
      <c r="AO255" t="s">
        <v>33</v>
      </c>
      <c r="AP255" t="s">
        <v>31</v>
      </c>
      <c r="AQ255">
        <v>9.3852654639713551E-4</v>
      </c>
    </row>
    <row r="256" spans="1:43" x14ac:dyDescent="0.2">
      <c r="A256">
        <v>254</v>
      </c>
      <c r="B256">
        <v>96</v>
      </c>
      <c r="C256">
        <v>6</v>
      </c>
      <c r="F256" t="s">
        <v>29</v>
      </c>
      <c r="G256" t="s">
        <v>391</v>
      </c>
      <c r="I256">
        <v>2.6952905563625181E-6</v>
      </c>
      <c r="J256">
        <v>1.6595372649599001</v>
      </c>
      <c r="K256">
        <v>1.6595372649599001</v>
      </c>
      <c r="L256" s="1"/>
      <c r="M256" s="1"/>
      <c r="N256" s="1">
        <v>43164</v>
      </c>
      <c r="R256">
        <v>-2.4313878536657216E-3</v>
      </c>
      <c r="S256">
        <v>-2.4313878536657216E-3</v>
      </c>
      <c r="T256" t="s">
        <v>32</v>
      </c>
      <c r="U256" t="s">
        <v>32</v>
      </c>
      <c r="W256" t="s">
        <v>392</v>
      </c>
      <c r="Z256" t="s">
        <v>31</v>
      </c>
      <c r="AA256">
        <v>1.9691014677063147E-3</v>
      </c>
      <c r="AC256" t="s">
        <v>36</v>
      </c>
      <c r="AD256" t="s">
        <v>36</v>
      </c>
      <c r="AE256" t="s">
        <v>166</v>
      </c>
      <c r="AF256">
        <v>1.43</v>
      </c>
      <c r="AG256">
        <v>1.43</v>
      </c>
      <c r="AH256" t="s">
        <v>244</v>
      </c>
      <c r="AI256" t="s">
        <v>244</v>
      </c>
      <c r="AJ256">
        <v>-1.1085399445008E-3</v>
      </c>
      <c r="AK256">
        <v>0</v>
      </c>
      <c r="AL256">
        <v>1.1085399445008E-3</v>
      </c>
      <c r="AM256" t="s">
        <v>166</v>
      </c>
      <c r="AN256" t="s">
        <v>36</v>
      </c>
      <c r="AO256" t="s">
        <v>36</v>
      </c>
      <c r="AP256" t="s">
        <v>31</v>
      </c>
    </row>
    <row r="257" spans="1:43" x14ac:dyDescent="0.2">
      <c r="A257">
        <v>255</v>
      </c>
      <c r="B257">
        <v>89</v>
      </c>
      <c r="C257">
        <v>6</v>
      </c>
      <c r="F257" t="s">
        <v>29</v>
      </c>
      <c r="G257" t="s">
        <v>689</v>
      </c>
      <c r="I257">
        <v>5.4680395015413928E-7</v>
      </c>
      <c r="J257">
        <v>4.3598141720215997</v>
      </c>
      <c r="K257">
        <v>4.3598141720215997</v>
      </c>
      <c r="L257" s="1"/>
      <c r="M257" s="1"/>
      <c r="N257" s="1">
        <v>43164</v>
      </c>
      <c r="R257">
        <v>-4.3669241811467843E-4</v>
      </c>
      <c r="S257">
        <v>-4.3669241811467843E-4</v>
      </c>
      <c r="T257" t="s">
        <v>32</v>
      </c>
      <c r="U257" t="s">
        <v>32</v>
      </c>
      <c r="W257" t="s">
        <v>690</v>
      </c>
      <c r="Z257" t="s">
        <v>31</v>
      </c>
      <c r="AA257">
        <v>3.9947917980658249E-4</v>
      </c>
      <c r="AC257" t="s">
        <v>138</v>
      </c>
      <c r="AD257" t="s">
        <v>138</v>
      </c>
      <c r="AE257" t="s">
        <v>41</v>
      </c>
      <c r="AF257">
        <v>2.31</v>
      </c>
      <c r="AG257">
        <v>2.31</v>
      </c>
      <c r="AH257" t="s">
        <v>244</v>
      </c>
      <c r="AI257" t="s">
        <v>244</v>
      </c>
      <c r="AJ257">
        <v>-1.2521489439062E-3</v>
      </c>
      <c r="AK257">
        <v>0</v>
      </c>
      <c r="AL257">
        <v>1.2521489439062E-3</v>
      </c>
      <c r="AM257" t="s">
        <v>41</v>
      </c>
      <c r="AN257" t="s">
        <v>138</v>
      </c>
      <c r="AO257" t="s">
        <v>138</v>
      </c>
      <c r="AP257" t="s">
        <v>31</v>
      </c>
    </row>
    <row r="258" spans="1:43" x14ac:dyDescent="0.2">
      <c r="A258">
        <v>256</v>
      </c>
      <c r="B258">
        <v>102</v>
      </c>
      <c r="C258">
        <v>6</v>
      </c>
      <c r="D258">
        <v>10000</v>
      </c>
      <c r="E258" t="s">
        <v>691</v>
      </c>
      <c r="F258" t="s">
        <v>29</v>
      </c>
      <c r="G258" t="s">
        <v>692</v>
      </c>
      <c r="H258">
        <v>2.8280561066262821E-2</v>
      </c>
      <c r="I258">
        <v>-2.2476301675820105E-6</v>
      </c>
      <c r="J258">
        <v>5.49</v>
      </c>
      <c r="K258">
        <v>5.4989495381811002</v>
      </c>
      <c r="L258" s="1">
        <v>47299</v>
      </c>
      <c r="M258" s="1">
        <v>43165</v>
      </c>
      <c r="N258" s="1">
        <v>43164</v>
      </c>
      <c r="R258">
        <v>-1.8407209487297778E-3</v>
      </c>
      <c r="S258">
        <v>-1.8407209487297778E-3</v>
      </c>
      <c r="T258" t="s">
        <v>32</v>
      </c>
      <c r="U258" t="s">
        <v>32</v>
      </c>
      <c r="V258">
        <v>321162041</v>
      </c>
      <c r="W258" t="s">
        <v>693</v>
      </c>
      <c r="X258" t="s">
        <v>694</v>
      </c>
      <c r="Y258">
        <v>10000</v>
      </c>
      <c r="Z258" t="s">
        <v>31</v>
      </c>
      <c r="AA258">
        <v>-1.6420537115744832E-3</v>
      </c>
      <c r="AB258">
        <v>115.25</v>
      </c>
      <c r="AC258" t="s">
        <v>34</v>
      </c>
      <c r="AD258" t="s">
        <v>34</v>
      </c>
      <c r="AE258" t="s">
        <v>166</v>
      </c>
      <c r="AF258">
        <v>8.7514849139223277E-2</v>
      </c>
      <c r="AG258">
        <v>2.23</v>
      </c>
      <c r="AH258" t="s">
        <v>244</v>
      </c>
      <c r="AI258" t="s">
        <v>244</v>
      </c>
      <c r="AJ258">
        <v>1.2210596989907828E-3</v>
      </c>
      <c r="AK258">
        <v>5.1512861687181824E-3</v>
      </c>
      <c r="AL258">
        <v>3.9302264697273995E-3</v>
      </c>
      <c r="AM258" t="s">
        <v>166</v>
      </c>
      <c r="AN258" t="s">
        <v>50</v>
      </c>
      <c r="AO258" t="s">
        <v>34</v>
      </c>
      <c r="AP258" t="s">
        <v>31</v>
      </c>
      <c r="AQ258">
        <v>4.5081403192833922E-4</v>
      </c>
    </row>
    <row r="259" spans="1:43" x14ac:dyDescent="0.2">
      <c r="A259">
        <v>257</v>
      </c>
      <c r="B259">
        <v>99</v>
      </c>
      <c r="C259">
        <v>6</v>
      </c>
      <c r="D259">
        <v>25000</v>
      </c>
      <c r="E259" t="s">
        <v>695</v>
      </c>
      <c r="F259" t="s">
        <v>29</v>
      </c>
      <c r="G259" t="s">
        <v>696</v>
      </c>
      <c r="H259">
        <v>3.5645762542521886E-2</v>
      </c>
      <c r="I259">
        <v>-2.259739792737613E-5</v>
      </c>
      <c r="J259">
        <v>3.24</v>
      </c>
      <c r="K259">
        <v>3.2490217016173002</v>
      </c>
      <c r="L259" s="1">
        <v>44392</v>
      </c>
      <c r="M259" s="1">
        <v>43165</v>
      </c>
      <c r="N259" s="1">
        <v>43164</v>
      </c>
      <c r="R259">
        <v>-2.4229989783995497E-3</v>
      </c>
      <c r="S259">
        <v>-2.4229989783995497E-3</v>
      </c>
      <c r="T259" t="s">
        <v>32</v>
      </c>
      <c r="U259" t="s">
        <v>32</v>
      </c>
      <c r="V259">
        <v>685916787</v>
      </c>
      <c r="W259" t="s">
        <v>697</v>
      </c>
      <c r="X259" t="s">
        <v>698</v>
      </c>
      <c r="Y259">
        <v>25000</v>
      </c>
      <c r="Z259" t="s">
        <v>31</v>
      </c>
      <c r="AA259">
        <v>-1.6509006541094842E-2</v>
      </c>
      <c r="AB259">
        <v>101.48</v>
      </c>
      <c r="AC259" t="s">
        <v>34</v>
      </c>
      <c r="AD259" t="s">
        <v>34</v>
      </c>
      <c r="AE259" t="s">
        <v>167</v>
      </c>
      <c r="AF259">
        <v>8.3414849139223285E-2</v>
      </c>
      <c r="AG259">
        <v>1.82</v>
      </c>
      <c r="AH259" t="s">
        <v>244</v>
      </c>
      <c r="AI259" t="s">
        <v>244</v>
      </c>
      <c r="AJ259">
        <v>9.3262102579598546E-3</v>
      </c>
      <c r="AK259">
        <v>1.1001778562506755E-2</v>
      </c>
      <c r="AL259">
        <v>1.6755683045469E-3</v>
      </c>
      <c r="AM259" t="s">
        <v>167</v>
      </c>
      <c r="AN259" t="s">
        <v>50</v>
      </c>
      <c r="AO259" t="s">
        <v>34</v>
      </c>
      <c r="AP259" t="s">
        <v>31</v>
      </c>
      <c r="AQ259">
        <v>9.1771169905464174E-4</v>
      </c>
    </row>
    <row r="260" spans="1:43" x14ac:dyDescent="0.2">
      <c r="A260">
        <v>258</v>
      </c>
      <c r="B260">
        <v>89</v>
      </c>
      <c r="C260">
        <v>6</v>
      </c>
      <c r="D260">
        <v>500000000</v>
      </c>
      <c r="E260" t="s">
        <v>699</v>
      </c>
      <c r="F260" t="s">
        <v>29</v>
      </c>
      <c r="G260" t="s">
        <v>700</v>
      </c>
      <c r="H260">
        <v>3.1218820280309829E-2</v>
      </c>
      <c r="I260">
        <v>-2.8320546204199323E-6</v>
      </c>
      <c r="J260">
        <v>3.86</v>
      </c>
      <c r="K260">
        <v>3.8703352163723999</v>
      </c>
      <c r="L260" s="1">
        <v>44713</v>
      </c>
      <c r="M260" s="1">
        <v>43165</v>
      </c>
      <c r="N260" s="1">
        <v>43164</v>
      </c>
      <c r="R260">
        <v>-4.3669241811467843E-4</v>
      </c>
      <c r="S260">
        <v>-4.3669241811467843E-4</v>
      </c>
      <c r="T260" t="s">
        <v>39</v>
      </c>
      <c r="U260" t="s">
        <v>39</v>
      </c>
      <c r="V260">
        <v>504240489</v>
      </c>
      <c r="W260" t="s">
        <v>202</v>
      </c>
      <c r="X260" t="s">
        <v>701</v>
      </c>
      <c r="Y260">
        <v>500000000</v>
      </c>
      <c r="Z260" t="s">
        <v>31</v>
      </c>
      <c r="AA260">
        <v>-2.0690173445416407E-3</v>
      </c>
      <c r="AB260">
        <v>99.7</v>
      </c>
      <c r="AC260" t="s">
        <v>138</v>
      </c>
      <c r="AD260" t="s">
        <v>138</v>
      </c>
      <c r="AE260" t="s">
        <v>41</v>
      </c>
      <c r="AF260">
        <v>4.58E-2</v>
      </c>
      <c r="AG260">
        <v>4.59</v>
      </c>
      <c r="AH260" t="s">
        <v>244</v>
      </c>
      <c r="AI260" t="s">
        <v>244</v>
      </c>
      <c r="AJ260">
        <v>6.4852388155642662E-3</v>
      </c>
      <c r="AK260">
        <v>8.0877772746916661E-3</v>
      </c>
      <c r="AL260">
        <v>1.6025384591274001E-3</v>
      </c>
      <c r="AM260" t="s">
        <v>41</v>
      </c>
      <c r="AN260" t="s">
        <v>142</v>
      </c>
      <c r="AO260" t="s">
        <v>138</v>
      </c>
      <c r="AP260" t="s">
        <v>31</v>
      </c>
      <c r="AQ260">
        <v>3.7042019918087833E-4</v>
      </c>
    </row>
    <row r="261" spans="1:43" x14ac:dyDescent="0.2">
      <c r="A261">
        <v>259</v>
      </c>
      <c r="B261">
        <v>89</v>
      </c>
      <c r="C261">
        <v>6</v>
      </c>
      <c r="D261">
        <v>20000</v>
      </c>
      <c r="E261" t="s">
        <v>699</v>
      </c>
      <c r="F261" t="s">
        <v>29</v>
      </c>
      <c r="G261" t="s">
        <v>1062</v>
      </c>
      <c r="H261">
        <v>3.5278074561299659E-2</v>
      </c>
      <c r="I261">
        <v>-3.7758989427950669E-6</v>
      </c>
      <c r="J261">
        <v>4.08</v>
      </c>
      <c r="L261" s="1">
        <v>44713</v>
      </c>
      <c r="M261" s="1">
        <v>43165</v>
      </c>
      <c r="N261" s="1"/>
      <c r="R261">
        <v>-4.3669241811467843E-4</v>
      </c>
      <c r="T261" t="s">
        <v>32</v>
      </c>
      <c r="V261">
        <v>539080029</v>
      </c>
      <c r="W261" t="s">
        <v>202</v>
      </c>
      <c r="X261" t="s">
        <v>701</v>
      </c>
      <c r="Y261">
        <v>20000</v>
      </c>
      <c r="Z261" t="s">
        <v>31</v>
      </c>
      <c r="AA261">
        <v>-2.7585627577765533E-3</v>
      </c>
      <c r="AB261">
        <v>99.52</v>
      </c>
      <c r="AC261" t="s">
        <v>138</v>
      </c>
      <c r="AE261" t="s">
        <v>41</v>
      </c>
      <c r="AF261">
        <v>8.421484913922328E-2</v>
      </c>
      <c r="AH261" t="s">
        <v>244</v>
      </c>
      <c r="AJ261">
        <v>8.6465869022793289E-3</v>
      </c>
      <c r="AK261">
        <v>8.6465869022793289E-3</v>
      </c>
      <c r="AL261">
        <v>0</v>
      </c>
      <c r="AN261" t="s">
        <v>142</v>
      </c>
      <c r="AQ261">
        <v>7.2817101154463765E-4</v>
      </c>
    </row>
    <row r="262" spans="1:43" x14ac:dyDescent="0.2">
      <c r="A262">
        <v>260</v>
      </c>
      <c r="B262">
        <v>99</v>
      </c>
      <c r="C262">
        <v>6</v>
      </c>
      <c r="D262">
        <v>5000</v>
      </c>
      <c r="E262" t="s">
        <v>379</v>
      </c>
      <c r="F262" t="s">
        <v>29</v>
      </c>
      <c r="G262" t="s">
        <v>702</v>
      </c>
      <c r="H262">
        <v>7.6089874007680414E-3</v>
      </c>
      <c r="I262">
        <v>-3.4366608668227809E-6</v>
      </c>
      <c r="J262">
        <v>3.32</v>
      </c>
      <c r="K262">
        <v>3.3275577192050001</v>
      </c>
      <c r="L262" s="1">
        <v>44440</v>
      </c>
      <c r="M262" s="1">
        <v>43165</v>
      </c>
      <c r="N262" s="1">
        <v>43164</v>
      </c>
      <c r="R262">
        <v>-2.4229989783995497E-3</v>
      </c>
      <c r="S262">
        <v>-2.4229989783995497E-3</v>
      </c>
      <c r="T262" t="s">
        <v>32</v>
      </c>
      <c r="U262" t="s">
        <v>32</v>
      </c>
      <c r="V262">
        <v>142888512</v>
      </c>
      <c r="W262" t="s">
        <v>276</v>
      </c>
      <c r="X262" t="s">
        <v>381</v>
      </c>
      <c r="Y262">
        <v>5000</v>
      </c>
      <c r="Z262" t="s">
        <v>31</v>
      </c>
      <c r="AA262">
        <v>-2.5107252132409467E-3</v>
      </c>
      <c r="AB262">
        <v>105.97</v>
      </c>
      <c r="AC262" t="s">
        <v>33</v>
      </c>
      <c r="AD262" t="s">
        <v>33</v>
      </c>
      <c r="AE262" t="s">
        <v>41</v>
      </c>
      <c r="AF262">
        <v>8.2014849139223286E-2</v>
      </c>
      <c r="AG262">
        <v>1.69</v>
      </c>
      <c r="AH262" t="s">
        <v>244</v>
      </c>
      <c r="AI262" t="s">
        <v>244</v>
      </c>
      <c r="AJ262">
        <v>1.4183501097028029E-3</v>
      </c>
      <c r="AK262">
        <v>2.2918636749301329E-3</v>
      </c>
      <c r="AL262">
        <v>8.7351356522733003E-4</v>
      </c>
      <c r="AM262" t="s">
        <v>41</v>
      </c>
      <c r="AN262" t="s">
        <v>144</v>
      </c>
      <c r="AO262" t="s">
        <v>33</v>
      </c>
      <c r="AP262" t="s">
        <v>31</v>
      </c>
      <c r="AQ262">
        <v>1.8796685354706074E-4</v>
      </c>
    </row>
    <row r="263" spans="1:43" x14ac:dyDescent="0.2">
      <c r="A263">
        <v>261</v>
      </c>
      <c r="B263">
        <v>96</v>
      </c>
      <c r="C263">
        <v>6</v>
      </c>
      <c r="F263" t="s">
        <v>29</v>
      </c>
      <c r="G263" t="s">
        <v>380</v>
      </c>
      <c r="I263">
        <v>2.0761038396175717E-6</v>
      </c>
      <c r="J263">
        <v>1.2161342068568</v>
      </c>
      <c r="K263">
        <v>1.2161342068568</v>
      </c>
      <c r="L263" s="1"/>
      <c r="M263" s="1"/>
      <c r="N263" s="1">
        <v>43164</v>
      </c>
      <c r="R263">
        <v>-2.4313878536657216E-3</v>
      </c>
      <c r="S263">
        <v>-2.4313878536657216E-3</v>
      </c>
      <c r="T263" t="s">
        <v>32</v>
      </c>
      <c r="U263" t="s">
        <v>32</v>
      </c>
      <c r="W263" t="s">
        <v>276</v>
      </c>
      <c r="Z263" t="s">
        <v>31</v>
      </c>
      <c r="AA263">
        <v>1.5167415283118104E-3</v>
      </c>
      <c r="AC263" t="s">
        <v>33</v>
      </c>
      <c r="AD263" t="s">
        <v>33</v>
      </c>
      <c r="AE263" t="s">
        <v>41</v>
      </c>
      <c r="AF263">
        <v>1.24</v>
      </c>
      <c r="AG263">
        <v>1.24</v>
      </c>
      <c r="AH263" t="s">
        <v>244</v>
      </c>
      <c r="AI263" t="s">
        <v>244</v>
      </c>
      <c r="AJ263">
        <v>-8.5387604305397005E-4</v>
      </c>
      <c r="AK263">
        <v>0</v>
      </c>
      <c r="AL263">
        <v>8.5387604305397005E-4</v>
      </c>
      <c r="AM263" t="s">
        <v>41</v>
      </c>
      <c r="AN263" t="s">
        <v>33</v>
      </c>
      <c r="AO263" t="s">
        <v>33</v>
      </c>
      <c r="AP263" t="s">
        <v>31</v>
      </c>
    </row>
    <row r="264" spans="1:43" x14ac:dyDescent="0.2">
      <c r="A264">
        <v>262</v>
      </c>
      <c r="B264">
        <v>99</v>
      </c>
      <c r="C264">
        <v>6</v>
      </c>
      <c r="F264" t="s">
        <v>29</v>
      </c>
      <c r="G264" t="s">
        <v>703</v>
      </c>
      <c r="I264">
        <v>2.1305163995658553E-6</v>
      </c>
      <c r="J264">
        <v>3.0760565871984</v>
      </c>
      <c r="K264">
        <v>3.0760565871984</v>
      </c>
      <c r="L264" s="1"/>
      <c r="M264" s="1"/>
      <c r="N264" s="1">
        <v>43164</v>
      </c>
      <c r="R264">
        <v>-2.4229989783995497E-3</v>
      </c>
      <c r="S264">
        <v>-2.4229989783995497E-3</v>
      </c>
      <c r="T264" t="s">
        <v>32</v>
      </c>
      <c r="U264" t="s">
        <v>32</v>
      </c>
      <c r="W264" t="s">
        <v>276</v>
      </c>
      <c r="Z264" t="s">
        <v>31</v>
      </c>
      <c r="AA264">
        <v>1.5564937737247953E-3</v>
      </c>
      <c r="AC264" t="s">
        <v>33</v>
      </c>
      <c r="AD264" t="s">
        <v>33</v>
      </c>
      <c r="AE264" t="s">
        <v>41</v>
      </c>
      <c r="AF264">
        <v>1.59</v>
      </c>
      <c r="AG264">
        <v>1.59</v>
      </c>
      <c r="AH264" t="s">
        <v>244</v>
      </c>
      <c r="AI264" t="s">
        <v>244</v>
      </c>
      <c r="AJ264">
        <v>-8.7928902098552007E-4</v>
      </c>
      <c r="AK264">
        <v>0</v>
      </c>
      <c r="AL264">
        <v>8.7928902098552007E-4</v>
      </c>
      <c r="AM264" t="s">
        <v>41</v>
      </c>
      <c r="AN264" t="s">
        <v>33</v>
      </c>
      <c r="AO264" t="s">
        <v>33</v>
      </c>
      <c r="AP264" t="s">
        <v>31</v>
      </c>
    </row>
    <row r="265" spans="1:43" x14ac:dyDescent="0.2">
      <c r="A265">
        <v>263</v>
      </c>
      <c r="B265">
        <v>102</v>
      </c>
      <c r="C265">
        <v>6</v>
      </c>
      <c r="F265" t="s">
        <v>29</v>
      </c>
      <c r="G265" t="s">
        <v>704</v>
      </c>
      <c r="I265">
        <v>1.697514140950057E-6</v>
      </c>
      <c r="J265">
        <v>7.1836168651585997</v>
      </c>
      <c r="K265">
        <v>7.1836168651585997</v>
      </c>
      <c r="L265" s="1"/>
      <c r="M265" s="1"/>
      <c r="N265" s="1">
        <v>43164</v>
      </c>
      <c r="R265">
        <v>-1.8407209487297778E-3</v>
      </c>
      <c r="S265">
        <v>-1.8407209487297778E-3</v>
      </c>
      <c r="T265" t="s">
        <v>32</v>
      </c>
      <c r="U265" t="s">
        <v>32</v>
      </c>
      <c r="W265" t="s">
        <v>276</v>
      </c>
      <c r="Z265" t="s">
        <v>31</v>
      </c>
      <c r="AA265">
        <v>1.2401548243125304E-3</v>
      </c>
      <c r="AC265" t="s">
        <v>33</v>
      </c>
      <c r="AD265" t="s">
        <v>33</v>
      </c>
      <c r="AE265" t="s">
        <v>41</v>
      </c>
      <c r="AF265">
        <v>2.2599999999999998</v>
      </c>
      <c r="AG265">
        <v>2.2599999999999998</v>
      </c>
      <c r="AH265" t="s">
        <v>244</v>
      </c>
      <c r="AI265" t="s">
        <v>244</v>
      </c>
      <c r="AJ265">
        <v>-9.2220069648332997E-4</v>
      </c>
      <c r="AK265">
        <v>0</v>
      </c>
      <c r="AL265">
        <v>9.2220069648332997E-4</v>
      </c>
      <c r="AM265" t="s">
        <v>41</v>
      </c>
      <c r="AN265" t="s">
        <v>33</v>
      </c>
      <c r="AO265" t="s">
        <v>33</v>
      </c>
      <c r="AP265" t="s">
        <v>31</v>
      </c>
    </row>
    <row r="266" spans="1:43" x14ac:dyDescent="0.2">
      <c r="A266">
        <v>264</v>
      </c>
      <c r="B266">
        <v>102</v>
      </c>
      <c r="C266">
        <v>6</v>
      </c>
      <c r="F266" t="s">
        <v>29</v>
      </c>
      <c r="G266" t="s">
        <v>705</v>
      </c>
      <c r="I266">
        <v>1.6891003550928543E-6</v>
      </c>
      <c r="J266">
        <v>6.021780868714</v>
      </c>
      <c r="K266">
        <v>6.021780868714</v>
      </c>
      <c r="L266" s="1"/>
      <c r="M266" s="1"/>
      <c r="N266" s="1">
        <v>43164</v>
      </c>
      <c r="R266">
        <v>-1.8407209487297778E-3</v>
      </c>
      <c r="S266">
        <v>-1.8407209487297778E-3</v>
      </c>
      <c r="T266" t="s">
        <v>32</v>
      </c>
      <c r="U266" t="s">
        <v>32</v>
      </c>
      <c r="W266" t="s">
        <v>276</v>
      </c>
      <c r="Z266" t="s">
        <v>31</v>
      </c>
      <c r="AA266">
        <v>1.2340079552704247E-3</v>
      </c>
      <c r="AC266" t="s">
        <v>33</v>
      </c>
      <c r="AD266" t="s">
        <v>33</v>
      </c>
      <c r="AE266" t="s">
        <v>41</v>
      </c>
      <c r="AF266">
        <v>2.06</v>
      </c>
      <c r="AG266">
        <v>2.06</v>
      </c>
      <c r="AH266" t="s">
        <v>244</v>
      </c>
      <c r="AI266" t="s">
        <v>244</v>
      </c>
      <c r="AJ266">
        <v>-9.1762977775553E-4</v>
      </c>
      <c r="AK266">
        <v>0</v>
      </c>
      <c r="AL266">
        <v>9.1762977775553E-4</v>
      </c>
      <c r="AM266" t="s">
        <v>41</v>
      </c>
      <c r="AN266" t="s">
        <v>33</v>
      </c>
      <c r="AO266" t="s">
        <v>33</v>
      </c>
      <c r="AP266" t="s">
        <v>31</v>
      </c>
    </row>
    <row r="267" spans="1:43" x14ac:dyDescent="0.2">
      <c r="A267">
        <v>265</v>
      </c>
      <c r="B267">
        <v>102</v>
      </c>
      <c r="C267">
        <v>6</v>
      </c>
      <c r="F267" t="s">
        <v>29</v>
      </c>
      <c r="G267" t="s">
        <v>706</v>
      </c>
      <c r="I267">
        <v>1.7123535183734211E-6</v>
      </c>
      <c r="J267">
        <v>8.2959721579331003</v>
      </c>
      <c r="K267">
        <v>8.2959721579331003</v>
      </c>
      <c r="L267" s="1"/>
      <c r="M267" s="1"/>
      <c r="N267" s="1">
        <v>43164</v>
      </c>
      <c r="R267">
        <v>-1.8407209487297778E-3</v>
      </c>
      <c r="S267">
        <v>-1.8407209487297778E-3</v>
      </c>
      <c r="T267" t="s">
        <v>32</v>
      </c>
      <c r="U267" t="s">
        <v>32</v>
      </c>
      <c r="W267" t="s">
        <v>276</v>
      </c>
      <c r="Z267" t="s">
        <v>31</v>
      </c>
      <c r="AA267">
        <v>1.2509960450466798E-3</v>
      </c>
      <c r="AC267" t="s">
        <v>33</v>
      </c>
      <c r="AD267" t="s">
        <v>33</v>
      </c>
      <c r="AE267" t="s">
        <v>41</v>
      </c>
      <c r="AF267">
        <v>2.34</v>
      </c>
      <c r="AG267">
        <v>2.34</v>
      </c>
      <c r="AH267" t="s">
        <v>244</v>
      </c>
      <c r="AI267" t="s">
        <v>244</v>
      </c>
      <c r="AJ267">
        <v>-9.3026241677482998E-4</v>
      </c>
      <c r="AK267">
        <v>0</v>
      </c>
      <c r="AL267">
        <v>9.3026241677482998E-4</v>
      </c>
      <c r="AM267" t="s">
        <v>41</v>
      </c>
      <c r="AN267" t="s">
        <v>33</v>
      </c>
      <c r="AO267" t="s">
        <v>33</v>
      </c>
      <c r="AP267" t="s">
        <v>31</v>
      </c>
    </row>
    <row r="268" spans="1:43" x14ac:dyDescent="0.2">
      <c r="A268">
        <v>266</v>
      </c>
      <c r="B268">
        <v>102</v>
      </c>
      <c r="C268">
        <v>6</v>
      </c>
      <c r="F268" t="s">
        <v>29</v>
      </c>
      <c r="G268" t="s">
        <v>707</v>
      </c>
      <c r="I268">
        <v>3.3761554771901268E-6</v>
      </c>
      <c r="J268">
        <v>5.6128996276100001</v>
      </c>
      <c r="K268">
        <v>5.6128996276100001</v>
      </c>
      <c r="L268" s="1"/>
      <c r="M268" s="1"/>
      <c r="N268" s="1">
        <v>43164</v>
      </c>
      <c r="R268">
        <v>-1.8407209487297778E-3</v>
      </c>
      <c r="S268">
        <v>-1.8407209487297778E-3</v>
      </c>
      <c r="T268" t="s">
        <v>32</v>
      </c>
      <c r="U268" t="s">
        <v>32</v>
      </c>
      <c r="W268" t="s">
        <v>276</v>
      </c>
      <c r="Z268" t="s">
        <v>31</v>
      </c>
      <c r="AA268">
        <v>2.466521722359952E-3</v>
      </c>
      <c r="AC268" t="s">
        <v>33</v>
      </c>
      <c r="AD268" t="s">
        <v>33</v>
      </c>
      <c r="AE268" t="s">
        <v>41</v>
      </c>
      <c r="AF268">
        <v>2</v>
      </c>
      <c r="AG268">
        <v>2</v>
      </c>
      <c r="AH268" t="s">
        <v>244</v>
      </c>
      <c r="AI268" t="s">
        <v>244</v>
      </c>
      <c r="AJ268">
        <v>-1.8341484511923999E-3</v>
      </c>
      <c r="AK268">
        <v>0</v>
      </c>
      <c r="AL268">
        <v>1.8341484511923999E-3</v>
      </c>
      <c r="AM268" t="s">
        <v>41</v>
      </c>
      <c r="AN268" t="s">
        <v>33</v>
      </c>
      <c r="AO268" t="s">
        <v>33</v>
      </c>
      <c r="AP268" t="s">
        <v>31</v>
      </c>
    </row>
    <row r="269" spans="1:43" x14ac:dyDescent="0.2">
      <c r="A269">
        <v>267</v>
      </c>
      <c r="B269">
        <v>102</v>
      </c>
      <c r="C269">
        <v>6</v>
      </c>
      <c r="F269" t="s">
        <v>29</v>
      </c>
      <c r="G269" t="s">
        <v>1063</v>
      </c>
      <c r="I269">
        <v>3.4489781166293541E-6</v>
      </c>
      <c r="J269">
        <v>8.6398925073066994</v>
      </c>
      <c r="K269">
        <v>8.6398925073066994</v>
      </c>
      <c r="L269" s="1"/>
      <c r="M269" s="1"/>
      <c r="N269" s="1">
        <v>43164</v>
      </c>
      <c r="R269">
        <v>-1.8407209487297778E-3</v>
      </c>
      <c r="S269">
        <v>-1.8407209487297778E-3</v>
      </c>
      <c r="T269" t="s">
        <v>32</v>
      </c>
      <c r="U269" t="s">
        <v>32</v>
      </c>
      <c r="AA269">
        <v>2.5197238403518439E-3</v>
      </c>
      <c r="AC269" t="s">
        <v>33</v>
      </c>
      <c r="AD269" t="s">
        <v>33</v>
      </c>
      <c r="AF269">
        <v>2.38</v>
      </c>
      <c r="AG269">
        <v>2.38</v>
      </c>
      <c r="AH269" t="s">
        <v>244</v>
      </c>
      <c r="AI269" t="s">
        <v>244</v>
      </c>
      <c r="AJ269">
        <v>-1.8737104714374999E-3</v>
      </c>
      <c r="AK269">
        <v>0</v>
      </c>
      <c r="AL269">
        <v>1.8737104714374999E-3</v>
      </c>
      <c r="AN269" t="s">
        <v>33</v>
      </c>
      <c r="AO269" t="s">
        <v>33</v>
      </c>
    </row>
    <row r="270" spans="1:43" x14ac:dyDescent="0.2">
      <c r="A270">
        <v>268</v>
      </c>
      <c r="B270">
        <v>104</v>
      </c>
      <c r="C270">
        <v>6</v>
      </c>
      <c r="F270" t="s">
        <v>29</v>
      </c>
      <c r="G270" t="s">
        <v>410</v>
      </c>
      <c r="I270">
        <v>-4.5665759874346212E-8</v>
      </c>
      <c r="J270">
        <v>0.24109589041096</v>
      </c>
      <c r="K270">
        <v>0.24109589041096</v>
      </c>
      <c r="L270" s="1"/>
      <c r="M270" s="1"/>
      <c r="N270" s="1">
        <v>43164</v>
      </c>
      <c r="R270">
        <v>4.8543139737796264E-5</v>
      </c>
      <c r="S270">
        <v>4.8543139737796264E-5</v>
      </c>
      <c r="T270" t="s">
        <v>39</v>
      </c>
      <c r="U270" t="s">
        <v>39</v>
      </c>
      <c r="W270" t="s">
        <v>276</v>
      </c>
      <c r="Z270" t="s">
        <v>31</v>
      </c>
      <c r="AA270">
        <v>-3.3362085798220298E-5</v>
      </c>
      <c r="AC270" t="s">
        <v>33</v>
      </c>
      <c r="AD270" t="s">
        <v>33</v>
      </c>
      <c r="AE270" t="s">
        <v>41</v>
      </c>
      <c r="AF270">
        <v>2.8</v>
      </c>
      <c r="AG270">
        <v>2.8</v>
      </c>
      <c r="AH270" t="s">
        <v>244</v>
      </c>
      <c r="AI270" t="s">
        <v>244</v>
      </c>
      <c r="AJ270">
        <v>-9.4072530374029995E-4</v>
      </c>
      <c r="AK270">
        <v>0</v>
      </c>
      <c r="AL270">
        <v>9.4072530374029995E-4</v>
      </c>
      <c r="AM270" t="s">
        <v>41</v>
      </c>
      <c r="AN270" t="s">
        <v>33</v>
      </c>
      <c r="AO270" t="s">
        <v>33</v>
      </c>
      <c r="AP270" t="s">
        <v>31</v>
      </c>
    </row>
    <row r="271" spans="1:43" x14ac:dyDescent="0.2">
      <c r="A271">
        <v>269</v>
      </c>
      <c r="B271">
        <v>99</v>
      </c>
      <c r="C271">
        <v>6</v>
      </c>
      <c r="D271">
        <v>7000</v>
      </c>
      <c r="E271" t="s">
        <v>379</v>
      </c>
      <c r="F271" t="s">
        <v>29</v>
      </c>
      <c r="G271" t="s">
        <v>708</v>
      </c>
      <c r="H271">
        <v>1.294362741053807E-2</v>
      </c>
      <c r="I271">
        <v>-3.615300710742007E-6</v>
      </c>
      <c r="J271">
        <v>3.96</v>
      </c>
      <c r="K271">
        <v>3.9616182590108999</v>
      </c>
      <c r="L271" s="1">
        <v>44713</v>
      </c>
      <c r="M271" s="1">
        <v>43165</v>
      </c>
      <c r="N271" s="1">
        <v>43164</v>
      </c>
      <c r="R271">
        <v>-2.4229989783995497E-3</v>
      </c>
      <c r="S271">
        <v>-2.4229989783995497E-3</v>
      </c>
      <c r="T271" t="s">
        <v>32</v>
      </c>
      <c r="U271" t="s">
        <v>32</v>
      </c>
      <c r="V271">
        <v>203783656</v>
      </c>
      <c r="W271" t="s">
        <v>276</v>
      </c>
      <c r="X271" t="s">
        <v>381</v>
      </c>
      <c r="Y271">
        <v>7000</v>
      </c>
      <c r="Z271" t="s">
        <v>31</v>
      </c>
      <c r="AA271">
        <v>-2.6412343258936841E-3</v>
      </c>
      <c r="AB271">
        <v>107.05</v>
      </c>
      <c r="AC271" t="s">
        <v>33</v>
      </c>
      <c r="AD271" t="s">
        <v>33</v>
      </c>
      <c r="AE271" t="s">
        <v>41</v>
      </c>
      <c r="AF271">
        <v>8.2314849139223281E-2</v>
      </c>
      <c r="AG271">
        <v>1.71</v>
      </c>
      <c r="AH271" t="s">
        <v>244</v>
      </c>
      <c r="AI271" t="s">
        <v>244</v>
      </c>
      <c r="AJ271">
        <v>1.4920768613489064E-3</v>
      </c>
      <c r="AK271">
        <v>3.2685927804389065E-3</v>
      </c>
      <c r="AL271">
        <v>1.7765159190900001E-3</v>
      </c>
      <c r="AM271" t="s">
        <v>41</v>
      </c>
      <c r="AN271" t="s">
        <v>144</v>
      </c>
      <c r="AO271" t="s">
        <v>33</v>
      </c>
      <c r="AP271" t="s">
        <v>31</v>
      </c>
      <c r="AQ271">
        <v>2.6905372161938296E-4</v>
      </c>
    </row>
    <row r="272" spans="1:43" x14ac:dyDescent="0.2">
      <c r="A272">
        <v>270</v>
      </c>
      <c r="B272">
        <v>102</v>
      </c>
      <c r="C272">
        <v>6</v>
      </c>
      <c r="D272">
        <v>15000</v>
      </c>
      <c r="E272" t="s">
        <v>379</v>
      </c>
      <c r="F272" t="s">
        <v>29</v>
      </c>
      <c r="G272" t="s">
        <v>709</v>
      </c>
      <c r="H272">
        <v>4.0087122644051273E-2</v>
      </c>
      <c r="I272">
        <v>-3.0948171835697827E-6</v>
      </c>
      <c r="J272">
        <v>5.65</v>
      </c>
      <c r="K272">
        <v>5.6527060915777003</v>
      </c>
      <c r="L272" s="1">
        <v>45444</v>
      </c>
      <c r="M272" s="1">
        <v>43165</v>
      </c>
      <c r="N272" s="1">
        <v>43164</v>
      </c>
      <c r="R272">
        <v>-1.8407209487297778E-3</v>
      </c>
      <c r="S272">
        <v>-1.8407209487297778E-3</v>
      </c>
      <c r="T272" t="s">
        <v>32</v>
      </c>
      <c r="U272" t="s">
        <v>32</v>
      </c>
      <c r="V272">
        <v>442348918</v>
      </c>
      <c r="W272" t="s">
        <v>276</v>
      </c>
      <c r="X272" t="s">
        <v>381</v>
      </c>
      <c r="Y272">
        <v>15000</v>
      </c>
      <c r="Z272" t="s">
        <v>31</v>
      </c>
      <c r="AA272">
        <v>-2.2609840872496768E-3</v>
      </c>
      <c r="AB272">
        <v>108.44</v>
      </c>
      <c r="AC272" t="s">
        <v>33</v>
      </c>
      <c r="AD272" t="s">
        <v>33</v>
      </c>
      <c r="AE272" t="s">
        <v>41</v>
      </c>
      <c r="AF272">
        <v>8.5214849139223281E-2</v>
      </c>
      <c r="AG272">
        <v>2.0099999999999998</v>
      </c>
      <c r="AH272" t="s">
        <v>244</v>
      </c>
      <c r="AI272" t="s">
        <v>244</v>
      </c>
      <c r="AJ272">
        <v>1.681307090955539E-3</v>
      </c>
      <c r="AK272">
        <v>7.0950659546993398E-3</v>
      </c>
      <c r="AL272">
        <v>5.4137588637438007E-3</v>
      </c>
      <c r="AM272" t="s">
        <v>41</v>
      </c>
      <c r="AN272" t="s">
        <v>144</v>
      </c>
      <c r="AO272" t="s">
        <v>33</v>
      </c>
      <c r="AP272" t="s">
        <v>31</v>
      </c>
      <c r="AQ272">
        <v>6.0460497496254344E-4</v>
      </c>
    </row>
    <row r="273" spans="1:43" x14ac:dyDescent="0.2">
      <c r="A273">
        <v>271</v>
      </c>
      <c r="B273">
        <v>96</v>
      </c>
      <c r="C273">
        <v>6</v>
      </c>
      <c r="F273" t="s">
        <v>29</v>
      </c>
      <c r="G273" t="s">
        <v>382</v>
      </c>
      <c r="I273">
        <v>1.0588498403926455E-5</v>
      </c>
      <c r="J273">
        <v>1.9952522081958</v>
      </c>
      <c r="K273">
        <v>1.9952522081958</v>
      </c>
      <c r="L273" s="1"/>
      <c r="M273" s="1"/>
      <c r="N273" s="1">
        <v>43164</v>
      </c>
      <c r="R273">
        <v>-2.4313878536657216E-3</v>
      </c>
      <c r="S273">
        <v>-2.4313878536657216E-3</v>
      </c>
      <c r="T273" t="s">
        <v>32</v>
      </c>
      <c r="U273" t="s">
        <v>32</v>
      </c>
      <c r="W273" t="s">
        <v>276</v>
      </c>
      <c r="Z273" t="s">
        <v>31</v>
      </c>
      <c r="AA273">
        <v>7.7356512450056005E-3</v>
      </c>
      <c r="AC273" t="s">
        <v>33</v>
      </c>
      <c r="AD273" t="s">
        <v>33</v>
      </c>
      <c r="AE273" t="s">
        <v>41</v>
      </c>
      <c r="AF273">
        <v>1.32</v>
      </c>
      <c r="AG273">
        <v>1.32</v>
      </c>
      <c r="AH273" t="s">
        <v>244</v>
      </c>
      <c r="AI273" t="s">
        <v>244</v>
      </c>
      <c r="AJ273">
        <v>-4.3549195114890998E-3</v>
      </c>
      <c r="AK273">
        <v>0</v>
      </c>
      <c r="AL273">
        <v>4.3549195114890998E-3</v>
      </c>
      <c r="AM273" t="s">
        <v>41</v>
      </c>
      <c r="AN273" t="s">
        <v>33</v>
      </c>
      <c r="AO273" t="s">
        <v>33</v>
      </c>
      <c r="AP273" t="s">
        <v>31</v>
      </c>
    </row>
    <row r="274" spans="1:43" x14ac:dyDescent="0.2">
      <c r="A274">
        <v>272</v>
      </c>
      <c r="B274">
        <v>102</v>
      </c>
      <c r="C274">
        <v>6</v>
      </c>
      <c r="F274" t="s">
        <v>29</v>
      </c>
      <c r="G274" t="s">
        <v>710</v>
      </c>
      <c r="I274">
        <v>3.3583193844124073E-6</v>
      </c>
      <c r="J274">
        <v>6.4408662254821998</v>
      </c>
      <c r="K274">
        <v>6.4408662254821998</v>
      </c>
      <c r="L274" s="1"/>
      <c r="M274" s="1"/>
      <c r="N274" s="1">
        <v>43164</v>
      </c>
      <c r="R274">
        <v>-1.8407209487297778E-3</v>
      </c>
      <c r="S274">
        <v>-1.8407209487297778E-3</v>
      </c>
      <c r="T274" t="s">
        <v>32</v>
      </c>
      <c r="U274" t="s">
        <v>32</v>
      </c>
      <c r="W274" t="s">
        <v>276</v>
      </c>
      <c r="Z274" t="s">
        <v>31</v>
      </c>
      <c r="AA274">
        <v>2.453491187902787E-3</v>
      </c>
      <c r="AC274" t="s">
        <v>33</v>
      </c>
      <c r="AD274" t="s">
        <v>33</v>
      </c>
      <c r="AE274" t="s">
        <v>41</v>
      </c>
      <c r="AF274">
        <v>2.12</v>
      </c>
      <c r="AG274">
        <v>2.12</v>
      </c>
      <c r="AH274" t="s">
        <v>244</v>
      </c>
      <c r="AI274" t="s">
        <v>244</v>
      </c>
      <c r="AJ274">
        <v>-1.8244587191392999E-3</v>
      </c>
      <c r="AK274">
        <v>0</v>
      </c>
      <c r="AL274">
        <v>1.8244587191392999E-3</v>
      </c>
      <c r="AM274" t="s">
        <v>41</v>
      </c>
      <c r="AN274" t="s">
        <v>33</v>
      </c>
      <c r="AO274" t="s">
        <v>33</v>
      </c>
      <c r="AP274" t="s">
        <v>31</v>
      </c>
    </row>
    <row r="275" spans="1:43" x14ac:dyDescent="0.2">
      <c r="A275">
        <v>273</v>
      </c>
      <c r="B275">
        <v>99</v>
      </c>
      <c r="C275">
        <v>6</v>
      </c>
      <c r="F275" t="s">
        <v>29</v>
      </c>
      <c r="G275" t="s">
        <v>711</v>
      </c>
      <c r="I275">
        <v>2.1613033505084926E-6</v>
      </c>
      <c r="J275">
        <v>4.3951931736510002</v>
      </c>
      <c r="K275">
        <v>4.3951931736510002</v>
      </c>
      <c r="L275" s="1"/>
      <c r="M275" s="1"/>
      <c r="N275" s="1">
        <v>43164</v>
      </c>
      <c r="R275">
        <v>-2.4229989783995497E-3</v>
      </c>
      <c r="S275">
        <v>-2.4229989783995497E-3</v>
      </c>
      <c r="T275" t="s">
        <v>32</v>
      </c>
      <c r="U275" t="s">
        <v>32</v>
      </c>
      <c r="AA275">
        <v>1.5789858312672531E-3</v>
      </c>
      <c r="AC275" t="s">
        <v>33</v>
      </c>
      <c r="AD275" t="s">
        <v>33</v>
      </c>
      <c r="AF275">
        <v>1.78</v>
      </c>
      <c r="AG275">
        <v>1.78</v>
      </c>
      <c r="AH275" t="s">
        <v>244</v>
      </c>
      <c r="AI275" t="s">
        <v>244</v>
      </c>
      <c r="AJ275">
        <v>-8.9199515549778991E-4</v>
      </c>
      <c r="AK275">
        <v>0</v>
      </c>
      <c r="AL275">
        <v>8.9199515549778991E-4</v>
      </c>
      <c r="AN275" t="s">
        <v>33</v>
      </c>
      <c r="AO275" t="s">
        <v>33</v>
      </c>
    </row>
    <row r="276" spans="1:43" x14ac:dyDescent="0.2">
      <c r="A276">
        <v>274</v>
      </c>
      <c r="B276">
        <v>93</v>
      </c>
      <c r="C276">
        <v>6</v>
      </c>
      <c r="F276" t="s">
        <v>29</v>
      </c>
      <c r="G276" t="s">
        <v>712</v>
      </c>
      <c r="I276">
        <v>1.8551682657825769E-6</v>
      </c>
      <c r="J276">
        <v>0.73401760865287002</v>
      </c>
      <c r="K276">
        <v>0.73401760865287002</v>
      </c>
      <c r="L276" s="1"/>
      <c r="M276" s="1"/>
      <c r="N276" s="1">
        <v>43164</v>
      </c>
      <c r="R276">
        <v>-2.1922679503766566E-3</v>
      </c>
      <c r="S276">
        <v>-2.1922679503766566E-3</v>
      </c>
      <c r="T276" t="s">
        <v>32</v>
      </c>
      <c r="U276" t="s">
        <v>32</v>
      </c>
      <c r="W276" t="s">
        <v>276</v>
      </c>
      <c r="Z276" t="s">
        <v>31</v>
      </c>
      <c r="AA276">
        <v>1.3553323764561576E-3</v>
      </c>
      <c r="AC276" t="s">
        <v>33</v>
      </c>
      <c r="AD276" t="s">
        <v>33</v>
      </c>
      <c r="AE276" t="s">
        <v>41</v>
      </c>
      <c r="AF276">
        <v>1</v>
      </c>
      <c r="AG276">
        <v>1</v>
      </c>
      <c r="AH276" t="s">
        <v>244</v>
      </c>
      <c r="AI276" t="s">
        <v>244</v>
      </c>
      <c r="AJ276">
        <v>-8.4623244410603996E-4</v>
      </c>
      <c r="AK276">
        <v>0</v>
      </c>
      <c r="AL276">
        <v>8.4623244410603996E-4</v>
      </c>
      <c r="AM276" t="s">
        <v>41</v>
      </c>
      <c r="AN276" t="s">
        <v>33</v>
      </c>
      <c r="AO276" t="s">
        <v>33</v>
      </c>
      <c r="AP276" t="s">
        <v>31</v>
      </c>
    </row>
    <row r="277" spans="1:43" x14ac:dyDescent="0.2">
      <c r="A277">
        <v>275</v>
      </c>
      <c r="B277">
        <v>99</v>
      </c>
      <c r="C277">
        <v>6</v>
      </c>
      <c r="F277" t="s">
        <v>29</v>
      </c>
      <c r="G277" t="s">
        <v>713</v>
      </c>
      <c r="I277">
        <v>2.2032890237175896E-6</v>
      </c>
      <c r="J277">
        <v>4.7101059450590999</v>
      </c>
      <c r="K277">
        <v>4.7101059450590999</v>
      </c>
      <c r="L277" s="1"/>
      <c r="M277" s="1"/>
      <c r="N277" s="1">
        <v>43164</v>
      </c>
      <c r="R277">
        <v>-2.4229989783995497E-3</v>
      </c>
      <c r="S277">
        <v>-2.4229989783995497E-3</v>
      </c>
      <c r="T277" t="s">
        <v>32</v>
      </c>
      <c r="U277" t="s">
        <v>32</v>
      </c>
      <c r="W277" t="s">
        <v>276</v>
      </c>
      <c r="Z277" t="s">
        <v>31</v>
      </c>
      <c r="AA277">
        <v>1.6096593519915811E-3</v>
      </c>
      <c r="AC277" t="s">
        <v>33</v>
      </c>
      <c r="AD277" t="s">
        <v>33</v>
      </c>
      <c r="AE277" t="s">
        <v>41</v>
      </c>
      <c r="AF277">
        <v>1.86</v>
      </c>
      <c r="AG277">
        <v>1.86</v>
      </c>
      <c r="AH277" t="s">
        <v>244</v>
      </c>
      <c r="AI277" t="s">
        <v>244</v>
      </c>
      <c r="AJ277">
        <v>-9.0932313358749997E-4</v>
      </c>
      <c r="AK277">
        <v>0</v>
      </c>
      <c r="AL277">
        <v>9.0932313358749997E-4</v>
      </c>
      <c r="AM277" t="s">
        <v>41</v>
      </c>
      <c r="AN277" t="s">
        <v>33</v>
      </c>
      <c r="AO277" t="s">
        <v>33</v>
      </c>
      <c r="AP277" t="s">
        <v>31</v>
      </c>
    </row>
    <row r="278" spans="1:43" x14ac:dyDescent="0.2">
      <c r="A278">
        <v>276</v>
      </c>
      <c r="B278">
        <v>102</v>
      </c>
      <c r="C278">
        <v>6</v>
      </c>
      <c r="F278" t="s">
        <v>29</v>
      </c>
      <c r="G278" t="s">
        <v>714</v>
      </c>
      <c r="I278">
        <v>1.7195306887583157E-6</v>
      </c>
      <c r="J278">
        <v>8.5708080535989009</v>
      </c>
      <c r="K278">
        <v>8.5708080535989009</v>
      </c>
      <c r="L278" s="1"/>
      <c r="M278" s="1"/>
      <c r="N278" s="1">
        <v>43164</v>
      </c>
      <c r="R278">
        <v>-1.8407209487297778E-3</v>
      </c>
      <c r="S278">
        <v>-1.8407209487297778E-3</v>
      </c>
      <c r="T278" t="s">
        <v>32</v>
      </c>
      <c r="U278" t="s">
        <v>32</v>
      </c>
      <c r="AA278">
        <v>1.2562394785256836E-3</v>
      </c>
      <c r="AC278" t="s">
        <v>33</v>
      </c>
      <c r="AD278" t="s">
        <v>33</v>
      </c>
      <c r="AF278">
        <v>2.37</v>
      </c>
      <c r="AG278">
        <v>2.37</v>
      </c>
      <c r="AH278" t="s">
        <v>244</v>
      </c>
      <c r="AI278" t="s">
        <v>244</v>
      </c>
      <c r="AJ278">
        <v>-9.341615251051E-4</v>
      </c>
      <c r="AK278">
        <v>0</v>
      </c>
      <c r="AL278">
        <v>9.341615251051E-4</v>
      </c>
      <c r="AN278" t="s">
        <v>33</v>
      </c>
      <c r="AO278" t="s">
        <v>33</v>
      </c>
    </row>
    <row r="279" spans="1:43" x14ac:dyDescent="0.2">
      <c r="A279">
        <v>277</v>
      </c>
      <c r="B279">
        <v>99</v>
      </c>
      <c r="C279">
        <v>6</v>
      </c>
      <c r="D279">
        <v>30000</v>
      </c>
      <c r="E279" t="s">
        <v>715</v>
      </c>
      <c r="F279" t="s">
        <v>29</v>
      </c>
      <c r="G279" t="s">
        <v>716</v>
      </c>
      <c r="H279">
        <v>4.921617240926935E-2</v>
      </c>
      <c r="I279">
        <v>-2.3028884312871187E-5</v>
      </c>
      <c r="J279">
        <v>4.5199999999999996</v>
      </c>
      <c r="K279">
        <v>4.5279102616099998</v>
      </c>
      <c r="L279" s="1">
        <v>46266</v>
      </c>
      <c r="M279" s="1">
        <v>43165</v>
      </c>
      <c r="N279" s="1">
        <v>43164</v>
      </c>
      <c r="R279">
        <v>-2.4229989783995497E-3</v>
      </c>
      <c r="S279">
        <v>-2.4229989783995497E-3</v>
      </c>
      <c r="T279" t="s">
        <v>32</v>
      </c>
      <c r="U279" t="s">
        <v>32</v>
      </c>
      <c r="V279">
        <v>678856425</v>
      </c>
      <c r="W279" t="s">
        <v>259</v>
      </c>
      <c r="X279" t="s">
        <v>717</v>
      </c>
      <c r="Y279">
        <v>30000</v>
      </c>
      <c r="Z279" t="s">
        <v>31</v>
      </c>
      <c r="AA279">
        <v>-1.6824238037368201E-2</v>
      </c>
      <c r="AB279">
        <v>121.09</v>
      </c>
      <c r="AC279" t="s">
        <v>34</v>
      </c>
      <c r="AD279" t="s">
        <v>34</v>
      </c>
      <c r="AE279" t="s">
        <v>52</v>
      </c>
      <c r="AF279">
        <v>8.4514849139223289E-2</v>
      </c>
      <c r="AG279">
        <v>1.93</v>
      </c>
      <c r="AH279" t="s">
        <v>244</v>
      </c>
      <c r="AI279" t="s">
        <v>244</v>
      </c>
      <c r="AJ279">
        <v>9.5042897327519017E-3</v>
      </c>
      <c r="AK279">
        <v>1.0888533718864902E-2</v>
      </c>
      <c r="AL279">
        <v>1.3842439861129999E-3</v>
      </c>
      <c r="AM279" t="s">
        <v>52</v>
      </c>
      <c r="AN279" t="s">
        <v>50</v>
      </c>
      <c r="AO279" t="s">
        <v>34</v>
      </c>
      <c r="AP279" t="s">
        <v>31</v>
      </c>
      <c r="AQ279">
        <v>9.2024278459721309E-4</v>
      </c>
    </row>
    <row r="280" spans="1:43" x14ac:dyDescent="0.2">
      <c r="A280">
        <v>278</v>
      </c>
      <c r="B280">
        <v>96</v>
      </c>
      <c r="C280">
        <v>6</v>
      </c>
      <c r="F280" t="s">
        <v>29</v>
      </c>
      <c r="G280" t="s">
        <v>386</v>
      </c>
      <c r="I280">
        <v>3.0481194536053925E-6</v>
      </c>
      <c r="J280">
        <v>1.4763424350315</v>
      </c>
      <c r="K280">
        <v>1.4763424350315</v>
      </c>
      <c r="L280" s="1"/>
      <c r="M280" s="1"/>
      <c r="N280" s="1">
        <v>43164</v>
      </c>
      <c r="R280">
        <v>-2.4313878536657216E-3</v>
      </c>
      <c r="S280">
        <v>-2.4313878536657216E-3</v>
      </c>
      <c r="T280" t="s">
        <v>32</v>
      </c>
      <c r="U280" t="s">
        <v>32</v>
      </c>
      <c r="W280" t="s">
        <v>270</v>
      </c>
      <c r="Z280" t="s">
        <v>31</v>
      </c>
      <c r="AA280">
        <v>2.226868073896545E-3</v>
      </c>
      <c r="AC280" t="s">
        <v>34</v>
      </c>
      <c r="AD280" t="s">
        <v>34</v>
      </c>
      <c r="AE280" t="s">
        <v>35</v>
      </c>
      <c r="AF280">
        <v>1.32</v>
      </c>
      <c r="AG280">
        <v>1.32</v>
      </c>
      <c r="AH280" t="s">
        <v>244</v>
      </c>
      <c r="AI280" t="s">
        <v>244</v>
      </c>
      <c r="AJ280">
        <v>-1.2536541420201E-3</v>
      </c>
      <c r="AK280">
        <v>0</v>
      </c>
      <c r="AL280">
        <v>1.2536541420201E-3</v>
      </c>
      <c r="AM280" t="s">
        <v>35</v>
      </c>
      <c r="AN280" t="s">
        <v>34</v>
      </c>
      <c r="AO280" t="s">
        <v>34</v>
      </c>
      <c r="AP280" t="s">
        <v>31</v>
      </c>
    </row>
    <row r="281" spans="1:43" x14ac:dyDescent="0.2">
      <c r="A281">
        <v>279</v>
      </c>
      <c r="B281">
        <v>102</v>
      </c>
      <c r="C281">
        <v>6</v>
      </c>
      <c r="F281" t="s">
        <v>29</v>
      </c>
      <c r="G281" t="s">
        <v>718</v>
      </c>
      <c r="I281">
        <v>8.5550086530202189E-6</v>
      </c>
      <c r="J281">
        <v>8.2037414692808994</v>
      </c>
      <c r="K281">
        <v>8.2037414692808994</v>
      </c>
      <c r="L281" s="1"/>
      <c r="M281" s="1"/>
      <c r="N281" s="1">
        <v>43164</v>
      </c>
      <c r="R281">
        <v>-1.8407209487297778E-3</v>
      </c>
      <c r="S281">
        <v>-1.8407209487297778E-3</v>
      </c>
      <c r="T281" t="s">
        <v>32</v>
      </c>
      <c r="U281" t="s">
        <v>32</v>
      </c>
      <c r="W281" t="s">
        <v>719</v>
      </c>
      <c r="Z281" t="s">
        <v>31</v>
      </c>
      <c r="AA281">
        <v>6.2500423396417608E-3</v>
      </c>
      <c r="AC281" t="s">
        <v>36</v>
      </c>
      <c r="AD281" t="s">
        <v>36</v>
      </c>
      <c r="AE281" t="s">
        <v>41</v>
      </c>
      <c r="AF281">
        <v>2.33</v>
      </c>
      <c r="AG281">
        <v>2.33</v>
      </c>
      <c r="AH281" t="s">
        <v>244</v>
      </c>
      <c r="AI281" t="s">
        <v>244</v>
      </c>
      <c r="AJ281">
        <v>-4.6476401862671005E-3</v>
      </c>
      <c r="AK281">
        <v>0</v>
      </c>
      <c r="AL281">
        <v>4.6476401862671005E-3</v>
      </c>
      <c r="AM281" t="s">
        <v>41</v>
      </c>
      <c r="AN281" t="s">
        <v>36</v>
      </c>
      <c r="AO281" t="s">
        <v>36</v>
      </c>
      <c r="AP281" t="s">
        <v>31</v>
      </c>
    </row>
    <row r="282" spans="1:43" x14ac:dyDescent="0.2">
      <c r="A282">
        <v>280</v>
      </c>
      <c r="B282">
        <v>98</v>
      </c>
      <c r="C282">
        <v>6</v>
      </c>
      <c r="F282" t="s">
        <v>29</v>
      </c>
      <c r="G282" t="s">
        <v>1033</v>
      </c>
      <c r="I282">
        <v>1.4353780693534263E-5</v>
      </c>
      <c r="J282">
        <v>4.8043134415448998</v>
      </c>
      <c r="K282">
        <v>4.8043134415448998</v>
      </c>
      <c r="L282" s="1"/>
      <c r="M282" s="1"/>
      <c r="N282" s="1">
        <v>43164</v>
      </c>
      <c r="R282">
        <v>-4.4913223753632802E-3</v>
      </c>
      <c r="S282">
        <v>-4.4913223753632802E-3</v>
      </c>
      <c r="T282" t="s">
        <v>32</v>
      </c>
      <c r="U282" t="s">
        <v>32</v>
      </c>
      <c r="AA282">
        <v>1.0486457782465273E-2</v>
      </c>
      <c r="AC282" t="s">
        <v>42</v>
      </c>
      <c r="AD282" t="s">
        <v>42</v>
      </c>
      <c r="AF282">
        <v>1.78</v>
      </c>
      <c r="AG282">
        <v>1.78</v>
      </c>
      <c r="AH282" t="s">
        <v>244</v>
      </c>
      <c r="AI282" t="s">
        <v>244</v>
      </c>
      <c r="AJ282">
        <v>-3.1958918763593004E-3</v>
      </c>
      <c r="AK282">
        <v>0</v>
      </c>
      <c r="AL282">
        <v>3.1958918763593004E-3</v>
      </c>
      <c r="AN282" t="s">
        <v>42</v>
      </c>
      <c r="AO282" t="s">
        <v>42</v>
      </c>
    </row>
    <row r="283" spans="1:43" x14ac:dyDescent="0.2">
      <c r="A283">
        <v>281</v>
      </c>
      <c r="B283">
        <v>98</v>
      </c>
      <c r="C283">
        <v>6</v>
      </c>
      <c r="F283" t="s">
        <v>29</v>
      </c>
      <c r="G283" t="s">
        <v>1064</v>
      </c>
      <c r="I283">
        <v>7.4949520534078513E-6</v>
      </c>
      <c r="J283">
        <v>4.8580918019013</v>
      </c>
      <c r="K283">
        <v>4.8580918019013</v>
      </c>
      <c r="L283" s="1"/>
      <c r="M283" s="1"/>
      <c r="N283" s="1">
        <v>43164</v>
      </c>
      <c r="R283">
        <v>-4.4913223753632802E-3</v>
      </c>
      <c r="S283">
        <v>-4.4913223753632802E-3</v>
      </c>
      <c r="T283" t="s">
        <v>32</v>
      </c>
      <c r="U283" t="s">
        <v>32</v>
      </c>
      <c r="AA283">
        <v>5.4755955916942906E-3</v>
      </c>
      <c r="AC283" t="s">
        <v>42</v>
      </c>
      <c r="AD283" t="s">
        <v>42</v>
      </c>
      <c r="AF283">
        <v>1.81</v>
      </c>
      <c r="AG283">
        <v>1.81</v>
      </c>
      <c r="AH283" t="s">
        <v>244</v>
      </c>
      <c r="AI283" t="s">
        <v>244</v>
      </c>
      <c r="AJ283">
        <v>-1.6687628780603001E-3</v>
      </c>
      <c r="AK283">
        <v>0</v>
      </c>
      <c r="AL283">
        <v>1.6687628780603001E-3</v>
      </c>
      <c r="AN283" t="s">
        <v>42</v>
      </c>
      <c r="AO283" t="s">
        <v>42</v>
      </c>
    </row>
    <row r="284" spans="1:43" x14ac:dyDescent="0.2">
      <c r="A284">
        <v>282</v>
      </c>
      <c r="B284">
        <v>96</v>
      </c>
      <c r="C284">
        <v>6</v>
      </c>
      <c r="F284" t="s">
        <v>29</v>
      </c>
      <c r="G284" t="s">
        <v>395</v>
      </c>
      <c r="I284">
        <v>1.0458323150264916E-6</v>
      </c>
      <c r="J284">
        <v>1.3371031467525001</v>
      </c>
      <c r="K284">
        <v>1.3371031467525001</v>
      </c>
      <c r="L284" s="1"/>
      <c r="M284" s="1"/>
      <c r="N284" s="1">
        <v>43164</v>
      </c>
      <c r="R284">
        <v>-2.4313878536657216E-3</v>
      </c>
      <c r="S284">
        <v>-2.4313878536657216E-3</v>
      </c>
      <c r="T284" t="s">
        <v>32</v>
      </c>
      <c r="U284" t="s">
        <v>32</v>
      </c>
      <c r="W284" t="s">
        <v>396</v>
      </c>
      <c r="Z284" t="s">
        <v>31</v>
      </c>
      <c r="AA284">
        <v>7.6405489628271961E-4</v>
      </c>
      <c r="AC284" t="s">
        <v>36</v>
      </c>
      <c r="AD284" t="s">
        <v>36</v>
      </c>
      <c r="AE284" t="s">
        <v>53</v>
      </c>
      <c r="AF284">
        <v>1.35</v>
      </c>
      <c r="AG284">
        <v>1.35</v>
      </c>
      <c r="AH284" t="s">
        <v>244</v>
      </c>
      <c r="AI284" t="s">
        <v>244</v>
      </c>
      <c r="AJ284">
        <v>-4.3013800264311001E-4</v>
      </c>
      <c r="AK284">
        <v>0</v>
      </c>
      <c r="AL284">
        <v>4.3013800264311001E-4</v>
      </c>
      <c r="AM284" t="s">
        <v>53</v>
      </c>
      <c r="AN284" t="s">
        <v>36</v>
      </c>
      <c r="AO284" t="s">
        <v>36</v>
      </c>
      <c r="AP284" t="s">
        <v>31</v>
      </c>
    </row>
    <row r="285" spans="1:43" x14ac:dyDescent="0.2">
      <c r="A285">
        <v>283</v>
      </c>
      <c r="B285">
        <v>102</v>
      </c>
      <c r="C285">
        <v>6</v>
      </c>
      <c r="F285" t="s">
        <v>29</v>
      </c>
      <c r="G285" t="s">
        <v>720</v>
      </c>
      <c r="I285">
        <v>6.4312952590727623E-6</v>
      </c>
      <c r="J285">
        <v>6.7014734686506001</v>
      </c>
      <c r="K285">
        <v>6.7014734686506001</v>
      </c>
      <c r="L285" s="1"/>
      <c r="M285" s="1"/>
      <c r="N285" s="1">
        <v>43164</v>
      </c>
      <c r="R285">
        <v>-1.8407209487297778E-3</v>
      </c>
      <c r="S285">
        <v>-1.8407209487297778E-3</v>
      </c>
      <c r="T285" t="s">
        <v>32</v>
      </c>
      <c r="U285" t="s">
        <v>32</v>
      </c>
      <c r="W285" t="s">
        <v>408</v>
      </c>
      <c r="Z285" t="s">
        <v>31</v>
      </c>
      <c r="AA285">
        <v>4.698518645419667E-3</v>
      </c>
      <c r="AC285" t="s">
        <v>34</v>
      </c>
      <c r="AD285" t="s">
        <v>34</v>
      </c>
      <c r="AE285" t="s">
        <v>166</v>
      </c>
      <c r="AF285">
        <v>2.2799999999999998</v>
      </c>
      <c r="AG285">
        <v>2.2799999999999998</v>
      </c>
      <c r="AH285" t="s">
        <v>244</v>
      </c>
      <c r="AI285" t="s">
        <v>244</v>
      </c>
      <c r="AJ285">
        <v>-3.4939001827032998E-3</v>
      </c>
      <c r="AK285">
        <v>0</v>
      </c>
      <c r="AL285">
        <v>3.4939001827032998E-3</v>
      </c>
      <c r="AM285" t="s">
        <v>166</v>
      </c>
      <c r="AN285" t="s">
        <v>34</v>
      </c>
      <c r="AO285" t="s">
        <v>34</v>
      </c>
      <c r="AP285" t="s">
        <v>31</v>
      </c>
    </row>
    <row r="286" spans="1:43" x14ac:dyDescent="0.2">
      <c r="A286">
        <v>284</v>
      </c>
      <c r="B286">
        <v>99</v>
      </c>
      <c r="C286">
        <v>6</v>
      </c>
      <c r="F286" t="s">
        <v>29</v>
      </c>
      <c r="G286" t="s">
        <v>407</v>
      </c>
      <c r="I286">
        <v>2.4648647519986536E-6</v>
      </c>
      <c r="J286">
        <v>3.1787482308053998</v>
      </c>
      <c r="K286">
        <v>3.1787482308053998</v>
      </c>
      <c r="L286" s="1"/>
      <c r="M286" s="1"/>
      <c r="N286" s="1">
        <v>43164</v>
      </c>
      <c r="R286">
        <v>-2.4229989783995497E-3</v>
      </c>
      <c r="S286">
        <v>-2.4229989783995497E-3</v>
      </c>
      <c r="T286" t="s">
        <v>32</v>
      </c>
      <c r="U286" t="s">
        <v>32</v>
      </c>
      <c r="W286" t="s">
        <v>408</v>
      </c>
      <c r="Z286" t="s">
        <v>31</v>
      </c>
      <c r="AA286">
        <v>1.8007590274082873E-3</v>
      </c>
      <c r="AC286" t="s">
        <v>34</v>
      </c>
      <c r="AD286" t="s">
        <v>34</v>
      </c>
      <c r="AE286" t="s">
        <v>166</v>
      </c>
      <c r="AF286">
        <v>1.8</v>
      </c>
      <c r="AG286">
        <v>1.8</v>
      </c>
      <c r="AH286" t="s">
        <v>244</v>
      </c>
      <c r="AI286" t="s">
        <v>244</v>
      </c>
      <c r="AJ286">
        <v>-1.0172784941191999E-3</v>
      </c>
      <c r="AK286">
        <v>0</v>
      </c>
      <c r="AL286">
        <v>1.0172784941191999E-3</v>
      </c>
      <c r="AM286" t="s">
        <v>166</v>
      </c>
      <c r="AN286" t="s">
        <v>34</v>
      </c>
      <c r="AO286" t="s">
        <v>34</v>
      </c>
      <c r="AP286" t="s">
        <v>31</v>
      </c>
    </row>
    <row r="287" spans="1:43" x14ac:dyDescent="0.2">
      <c r="A287">
        <v>285</v>
      </c>
      <c r="B287">
        <v>91</v>
      </c>
      <c r="C287">
        <v>6</v>
      </c>
      <c r="F287" t="s">
        <v>29</v>
      </c>
      <c r="G287" t="s">
        <v>901</v>
      </c>
      <c r="I287">
        <v>3.0332931291940042E-6</v>
      </c>
      <c r="J287">
        <v>8.4845202527805004</v>
      </c>
      <c r="K287">
        <v>8.4845202527805004</v>
      </c>
      <c r="L287" s="1"/>
      <c r="M287" s="1"/>
      <c r="N287" s="1">
        <v>43164</v>
      </c>
      <c r="R287">
        <v>-1.6084208318337245E-3</v>
      </c>
      <c r="S287">
        <v>-1.6084208318337245E-3</v>
      </c>
      <c r="T287" t="s">
        <v>32</v>
      </c>
      <c r="U287" t="s">
        <v>32</v>
      </c>
      <c r="W287" t="s">
        <v>1034</v>
      </c>
      <c r="Z287" t="s">
        <v>31</v>
      </c>
      <c r="AA287">
        <v>2.216036389316106E-3</v>
      </c>
      <c r="AC287" t="s">
        <v>138</v>
      </c>
      <c r="AD287" t="s">
        <v>138</v>
      </c>
      <c r="AE287" t="s">
        <v>168</v>
      </c>
      <c r="AF287">
        <v>2.71</v>
      </c>
      <c r="AG287">
        <v>2.71</v>
      </c>
      <c r="AH287" t="s">
        <v>244</v>
      </c>
      <c r="AI287" t="s">
        <v>244</v>
      </c>
      <c r="AJ287">
        <v>-1.8858827672206999E-3</v>
      </c>
      <c r="AK287">
        <v>0</v>
      </c>
      <c r="AL287">
        <v>1.8858827672206999E-3</v>
      </c>
      <c r="AM287" t="s">
        <v>168</v>
      </c>
      <c r="AN287" t="s">
        <v>138</v>
      </c>
      <c r="AO287" t="s">
        <v>138</v>
      </c>
      <c r="AP287" t="s">
        <v>31</v>
      </c>
    </row>
    <row r="288" spans="1:43" x14ac:dyDescent="0.2">
      <c r="A288">
        <v>286</v>
      </c>
      <c r="B288">
        <v>102</v>
      </c>
      <c r="C288">
        <v>6</v>
      </c>
      <c r="D288">
        <v>30000</v>
      </c>
      <c r="E288" t="s">
        <v>721</v>
      </c>
      <c r="F288" t="s">
        <v>29</v>
      </c>
      <c r="G288" t="s">
        <v>722</v>
      </c>
      <c r="H288">
        <v>0.12327198911221064</v>
      </c>
      <c r="I288">
        <v>-3.9457862850201735E-6</v>
      </c>
      <c r="J288">
        <v>8.19</v>
      </c>
      <c r="K288">
        <v>8.1938754212643001</v>
      </c>
      <c r="L288" s="1">
        <v>46736</v>
      </c>
      <c r="M288" s="1">
        <v>43165</v>
      </c>
      <c r="N288" s="1">
        <v>43164</v>
      </c>
      <c r="R288">
        <v>-1.8407209487297778E-3</v>
      </c>
      <c r="S288">
        <v>-1.8407209487297778E-3</v>
      </c>
      <c r="T288" t="s">
        <v>32</v>
      </c>
      <c r="U288" t="s">
        <v>32</v>
      </c>
      <c r="V288">
        <v>938402237</v>
      </c>
      <c r="W288" t="s">
        <v>723</v>
      </c>
      <c r="X288" t="s">
        <v>724</v>
      </c>
      <c r="Y288">
        <v>30000</v>
      </c>
      <c r="Z288" t="s">
        <v>31</v>
      </c>
      <c r="AA288">
        <v>-2.882677545375426E-3</v>
      </c>
      <c r="AB288">
        <v>114.98</v>
      </c>
      <c r="AC288" t="s">
        <v>34</v>
      </c>
      <c r="AD288" t="s">
        <v>34</v>
      </c>
      <c r="AE288" t="s">
        <v>169</v>
      </c>
      <c r="AF288">
        <v>8.9714849139223285E-2</v>
      </c>
      <c r="AG288">
        <v>2.4700000000000002</v>
      </c>
      <c r="AH288" t="s">
        <v>244</v>
      </c>
      <c r="AI288" t="s">
        <v>244</v>
      </c>
      <c r="AJ288">
        <v>2.1436091590868421E-3</v>
      </c>
      <c r="AK288">
        <v>1.5051524922125843E-2</v>
      </c>
      <c r="AL288">
        <v>1.2907915763039001E-2</v>
      </c>
      <c r="AM288" t="s">
        <v>169</v>
      </c>
      <c r="AN288" t="s">
        <v>50</v>
      </c>
      <c r="AO288" t="s">
        <v>34</v>
      </c>
      <c r="AP288" t="s">
        <v>31</v>
      </c>
      <c r="AQ288">
        <v>1.3503452877037794E-3</v>
      </c>
    </row>
    <row r="289" spans="1:43" x14ac:dyDescent="0.2">
      <c r="A289">
        <v>287</v>
      </c>
      <c r="B289">
        <v>101</v>
      </c>
      <c r="C289">
        <v>6</v>
      </c>
      <c r="F289" t="s">
        <v>29</v>
      </c>
      <c r="G289" t="s">
        <v>725</v>
      </c>
      <c r="I289">
        <v>2.3861641503948994E-6</v>
      </c>
      <c r="J289">
        <v>5.1883626753316001</v>
      </c>
      <c r="K289">
        <v>5.1883626753316001</v>
      </c>
      <c r="L289" s="1"/>
      <c r="M289" s="1"/>
      <c r="N289" s="1">
        <v>43164</v>
      </c>
      <c r="R289">
        <v>-5.6906384243591525E-3</v>
      </c>
      <c r="S289">
        <v>-5.6906384243591525E-3</v>
      </c>
      <c r="T289" t="s">
        <v>32</v>
      </c>
      <c r="U289" t="s">
        <v>32</v>
      </c>
      <c r="W289" t="s">
        <v>281</v>
      </c>
      <c r="Z289" t="s">
        <v>31</v>
      </c>
      <c r="AA289">
        <v>1.7432626399551793E-3</v>
      </c>
      <c r="AC289" t="s">
        <v>42</v>
      </c>
      <c r="AD289" t="s">
        <v>42</v>
      </c>
      <c r="AE289" t="s">
        <v>35</v>
      </c>
      <c r="AF289">
        <v>2.17</v>
      </c>
      <c r="AG289">
        <v>2.17</v>
      </c>
      <c r="AH289" t="s">
        <v>244</v>
      </c>
      <c r="AI289" t="s">
        <v>244</v>
      </c>
      <c r="AJ289">
        <v>-4.1931396311892997E-4</v>
      </c>
      <c r="AK289">
        <v>0</v>
      </c>
      <c r="AL289">
        <v>4.1931396311892997E-4</v>
      </c>
      <c r="AM289" t="s">
        <v>35</v>
      </c>
      <c r="AN289" t="s">
        <v>42</v>
      </c>
      <c r="AO289" t="s">
        <v>42</v>
      </c>
      <c r="AP289" t="s">
        <v>31</v>
      </c>
    </row>
    <row r="290" spans="1:43" x14ac:dyDescent="0.2">
      <c r="A290">
        <v>288</v>
      </c>
      <c r="B290">
        <v>96</v>
      </c>
      <c r="C290">
        <v>6</v>
      </c>
      <c r="D290">
        <v>500</v>
      </c>
      <c r="E290" t="s">
        <v>726</v>
      </c>
      <c r="F290" t="s">
        <v>29</v>
      </c>
      <c r="G290" t="s">
        <v>727</v>
      </c>
      <c r="H290">
        <v>4.2845903130204631E-4</v>
      </c>
      <c r="I290">
        <v>3.5371363818616961E-6</v>
      </c>
      <c r="J290">
        <v>1.95</v>
      </c>
      <c r="K290">
        <v>1.9584360907856</v>
      </c>
      <c r="L290" s="1">
        <v>43891</v>
      </c>
      <c r="M290" s="1">
        <v>43165</v>
      </c>
      <c r="N290" s="1">
        <v>43164</v>
      </c>
      <c r="R290">
        <v>-2.4313878536657216E-3</v>
      </c>
      <c r="S290">
        <v>-2.4313878536657216E-3</v>
      </c>
      <c r="T290" t="s">
        <v>32</v>
      </c>
      <c r="U290" t="s">
        <v>32</v>
      </c>
      <c r="V290">
        <v>13698822</v>
      </c>
      <c r="W290" t="s">
        <v>281</v>
      </c>
      <c r="X290" t="s">
        <v>728</v>
      </c>
      <c r="Y290">
        <v>500</v>
      </c>
      <c r="Z290" t="s">
        <v>31</v>
      </c>
      <c r="AA290">
        <v>2.5841297238101833E-3</v>
      </c>
      <c r="AB290">
        <v>101.62</v>
      </c>
      <c r="AC290" t="s">
        <v>34</v>
      </c>
      <c r="AD290" t="s">
        <v>34</v>
      </c>
      <c r="AE290" t="s">
        <v>35</v>
      </c>
      <c r="AF290">
        <v>7.9614849139223287E-2</v>
      </c>
      <c r="AG290">
        <v>1.45</v>
      </c>
      <c r="AH290" t="s">
        <v>244</v>
      </c>
      <c r="AI290" t="s">
        <v>244</v>
      </c>
      <c r="AJ290">
        <v>-1.4547808061675042E-3</v>
      </c>
      <c r="AK290">
        <v>2.1972258015489555E-4</v>
      </c>
      <c r="AL290">
        <v>1.6745033863223998E-3</v>
      </c>
      <c r="AM290" t="s">
        <v>35</v>
      </c>
      <c r="AN290" t="s">
        <v>50</v>
      </c>
      <c r="AO290" t="s">
        <v>34</v>
      </c>
      <c r="AP290" t="s">
        <v>31</v>
      </c>
      <c r="AQ290">
        <v>1.7493180071512907E-5</v>
      </c>
    </row>
    <row r="291" spans="1:43" x14ac:dyDescent="0.2">
      <c r="A291">
        <v>289</v>
      </c>
      <c r="B291">
        <v>102</v>
      </c>
      <c r="C291">
        <v>6</v>
      </c>
      <c r="D291">
        <v>15000</v>
      </c>
      <c r="E291" t="s">
        <v>352</v>
      </c>
      <c r="F291" t="s">
        <v>29</v>
      </c>
      <c r="G291" t="s">
        <v>729</v>
      </c>
      <c r="H291">
        <v>4.460355231150754E-2</v>
      </c>
      <c r="I291">
        <v>-8.4719790615996804E-6</v>
      </c>
      <c r="J291">
        <v>6</v>
      </c>
      <c r="K291">
        <v>6.0031016169419997</v>
      </c>
      <c r="L291" s="1">
        <v>47605</v>
      </c>
      <c r="M291" s="1">
        <v>43165</v>
      </c>
      <c r="N291" s="1">
        <v>43164</v>
      </c>
      <c r="R291">
        <v>-1.8407209487297778E-3</v>
      </c>
      <c r="S291">
        <v>-1.8407209487297778E-3</v>
      </c>
      <c r="T291" t="s">
        <v>32</v>
      </c>
      <c r="U291" t="s">
        <v>32</v>
      </c>
      <c r="V291">
        <v>463475445</v>
      </c>
      <c r="W291" t="s">
        <v>354</v>
      </c>
      <c r="X291" t="s">
        <v>355</v>
      </c>
      <c r="Y291">
        <v>15000</v>
      </c>
      <c r="Z291" t="s">
        <v>31</v>
      </c>
      <c r="AA291">
        <v>-6.1893833172060181E-3</v>
      </c>
      <c r="AB291">
        <v>112.94</v>
      </c>
      <c r="AC291" t="s">
        <v>33</v>
      </c>
      <c r="AD291" t="s">
        <v>33</v>
      </c>
      <c r="AE291" t="s">
        <v>35</v>
      </c>
      <c r="AF291">
        <v>8.8614849139223281E-2</v>
      </c>
      <c r="AG291">
        <v>2.36</v>
      </c>
      <c r="AH291" t="s">
        <v>244</v>
      </c>
      <c r="AI291" t="s">
        <v>244</v>
      </c>
      <c r="AJ291">
        <v>4.6025330821849557E-3</v>
      </c>
      <c r="AK291">
        <v>7.4339253852512563E-3</v>
      </c>
      <c r="AL291">
        <v>2.8313923030663002E-3</v>
      </c>
      <c r="AM291" t="s">
        <v>35</v>
      </c>
      <c r="AN291" t="s">
        <v>144</v>
      </c>
      <c r="AO291" t="s">
        <v>33</v>
      </c>
      <c r="AP291" t="s">
        <v>31</v>
      </c>
      <c r="AQ291">
        <v>6.5875617652628234E-4</v>
      </c>
    </row>
    <row r="292" spans="1:43" x14ac:dyDescent="0.2">
      <c r="A292">
        <v>290</v>
      </c>
      <c r="B292">
        <v>93</v>
      </c>
      <c r="C292">
        <v>6</v>
      </c>
      <c r="F292" t="s">
        <v>29</v>
      </c>
      <c r="G292" t="s">
        <v>353</v>
      </c>
      <c r="I292">
        <v>6.1073971752609969E-7</v>
      </c>
      <c r="J292">
        <v>0.23561643835616</v>
      </c>
      <c r="K292">
        <v>0.23561643835616</v>
      </c>
      <c r="L292" s="1"/>
      <c r="M292" s="1"/>
      <c r="N292" s="1">
        <v>43164</v>
      </c>
      <c r="R292">
        <v>-2.1922679503766566E-3</v>
      </c>
      <c r="S292">
        <v>-2.1922679503766566E-3</v>
      </c>
      <c r="T292" t="s">
        <v>32</v>
      </c>
      <c r="U292" t="s">
        <v>32</v>
      </c>
      <c r="W292" t="s">
        <v>354</v>
      </c>
      <c r="Z292" t="s">
        <v>31</v>
      </c>
      <c r="AA292">
        <v>4.4618880562924786E-4</v>
      </c>
      <c r="AC292" t="s">
        <v>33</v>
      </c>
      <c r="AD292" t="s">
        <v>33</v>
      </c>
      <c r="AE292" t="s">
        <v>35</v>
      </c>
      <c r="AF292">
        <v>1.1599999999999999</v>
      </c>
      <c r="AG292">
        <v>1.1599999999999999</v>
      </c>
      <c r="AH292" t="s">
        <v>244</v>
      </c>
      <c r="AI292" t="s">
        <v>244</v>
      </c>
      <c r="AJ292">
        <v>-2.7858807926338001E-4</v>
      </c>
      <c r="AK292">
        <v>0</v>
      </c>
      <c r="AL292">
        <v>2.7858807926338001E-4</v>
      </c>
      <c r="AM292" t="s">
        <v>35</v>
      </c>
      <c r="AN292" t="s">
        <v>33</v>
      </c>
      <c r="AO292" t="s">
        <v>33</v>
      </c>
      <c r="AP292" t="s">
        <v>31</v>
      </c>
    </row>
    <row r="293" spans="1:43" x14ac:dyDescent="0.2">
      <c r="A293">
        <v>291</v>
      </c>
      <c r="B293">
        <v>96</v>
      </c>
      <c r="C293">
        <v>6</v>
      </c>
      <c r="D293">
        <v>4500</v>
      </c>
      <c r="E293" t="s">
        <v>352</v>
      </c>
      <c r="F293" t="s">
        <v>29</v>
      </c>
      <c r="G293" t="s">
        <v>401</v>
      </c>
      <c r="H293">
        <v>1.7794225145791216E-3</v>
      </c>
      <c r="I293">
        <v>-1.1111523824290547E-6</v>
      </c>
      <c r="J293">
        <v>1.42</v>
      </c>
      <c r="K293">
        <v>1.4250493351294999</v>
      </c>
      <c r="L293" s="1">
        <v>44058</v>
      </c>
      <c r="M293" s="1">
        <v>43165</v>
      </c>
      <c r="N293" s="1">
        <v>43164</v>
      </c>
      <c r="R293">
        <v>-2.4313878536657216E-3</v>
      </c>
      <c r="S293">
        <v>-2.4313878536657216E-3</v>
      </c>
      <c r="T293" t="s">
        <v>32</v>
      </c>
      <c r="U293" t="s">
        <v>32</v>
      </c>
      <c r="V293">
        <v>78126662</v>
      </c>
      <c r="W293" t="s">
        <v>354</v>
      </c>
      <c r="X293" t="s">
        <v>355</v>
      </c>
      <c r="Y293">
        <v>4500</v>
      </c>
      <c r="Z293" t="s">
        <v>31</v>
      </c>
      <c r="AA293">
        <v>-8.1177585174313819E-4</v>
      </c>
      <c r="AB293">
        <v>102.88</v>
      </c>
      <c r="AC293" t="s">
        <v>33</v>
      </c>
      <c r="AD293" t="s">
        <v>33</v>
      </c>
      <c r="AE293" t="s">
        <v>35</v>
      </c>
      <c r="AF293">
        <v>7.9514849139223284E-2</v>
      </c>
      <c r="AG293">
        <v>1.45</v>
      </c>
      <c r="AH293" t="s">
        <v>244</v>
      </c>
      <c r="AI293" t="s">
        <v>244</v>
      </c>
      <c r="AJ293">
        <v>4.5700334512809536E-4</v>
      </c>
      <c r="AK293">
        <v>1.2531144468867054E-3</v>
      </c>
      <c r="AL293">
        <v>7.9611110175861006E-4</v>
      </c>
      <c r="AM293" t="s">
        <v>35</v>
      </c>
      <c r="AN293" t="s">
        <v>144</v>
      </c>
      <c r="AO293" t="s">
        <v>33</v>
      </c>
      <c r="AP293" t="s">
        <v>31</v>
      </c>
      <c r="AQ293">
        <v>9.9641206198377617E-5</v>
      </c>
    </row>
    <row r="294" spans="1:43" x14ac:dyDescent="0.2">
      <c r="A294">
        <v>292</v>
      </c>
      <c r="B294">
        <v>102</v>
      </c>
      <c r="C294">
        <v>6</v>
      </c>
      <c r="D294">
        <v>10000</v>
      </c>
      <c r="E294" t="s">
        <v>282</v>
      </c>
      <c r="F294" t="s">
        <v>29</v>
      </c>
      <c r="G294" t="s">
        <v>730</v>
      </c>
      <c r="H294">
        <v>3.843666685281507E-2</v>
      </c>
      <c r="I294">
        <v>-9.0823078145473891E-6</v>
      </c>
      <c r="J294">
        <v>7.79</v>
      </c>
      <c r="L294" s="1">
        <v>48366</v>
      </c>
      <c r="M294" s="1">
        <v>43165</v>
      </c>
      <c r="N294" s="1"/>
      <c r="R294">
        <v>-1.8407209487297778E-3</v>
      </c>
      <c r="T294" t="s">
        <v>32</v>
      </c>
      <c r="V294">
        <v>307621577</v>
      </c>
      <c r="W294" t="s">
        <v>283</v>
      </c>
      <c r="X294" t="s">
        <v>356</v>
      </c>
      <c r="Y294">
        <v>10000</v>
      </c>
      <c r="Z294" t="s">
        <v>31</v>
      </c>
      <c r="AA294">
        <v>-6.6352718839788006E-3</v>
      </c>
      <c r="AB294">
        <v>110.9</v>
      </c>
      <c r="AC294" t="s">
        <v>33</v>
      </c>
      <c r="AE294" t="s">
        <v>38</v>
      </c>
      <c r="AF294">
        <v>8.9614849139223282E-2</v>
      </c>
      <c r="AH294" t="s">
        <v>244</v>
      </c>
      <c r="AJ294">
        <v>4.9341035754576473E-3</v>
      </c>
      <c r="AK294">
        <v>4.9341035754576473E-3</v>
      </c>
      <c r="AL294">
        <v>0</v>
      </c>
      <c r="AN294" t="s">
        <v>144</v>
      </c>
      <c r="AQ294">
        <v>4.4216894755193925E-4</v>
      </c>
    </row>
    <row r="295" spans="1:43" x14ac:dyDescent="0.2">
      <c r="A295">
        <v>293</v>
      </c>
      <c r="B295">
        <v>93</v>
      </c>
      <c r="C295">
        <v>6</v>
      </c>
      <c r="D295">
        <v>23000</v>
      </c>
      <c r="E295" t="s">
        <v>282</v>
      </c>
      <c r="F295" t="s">
        <v>29</v>
      </c>
      <c r="G295" t="s">
        <v>357</v>
      </c>
      <c r="H295">
        <v>1.5106252466695696E-3</v>
      </c>
      <c r="I295">
        <v>-4.4752639368966604E-6</v>
      </c>
      <c r="J295">
        <v>0.74</v>
      </c>
      <c r="L295" s="1">
        <v>43435</v>
      </c>
      <c r="M295" s="1">
        <v>43165</v>
      </c>
      <c r="N295" s="1"/>
      <c r="R295">
        <v>-2.1922679503766566E-3</v>
      </c>
      <c r="T295" t="s">
        <v>32</v>
      </c>
      <c r="V295">
        <v>127272200</v>
      </c>
      <c r="W295" t="s">
        <v>283</v>
      </c>
      <c r="X295" t="s">
        <v>356</v>
      </c>
      <c r="Y295">
        <v>23000</v>
      </c>
      <c r="Z295" t="s">
        <v>31</v>
      </c>
      <c r="AA295">
        <v>-3.2694986318688758E-3</v>
      </c>
      <c r="AB295">
        <v>101.74</v>
      </c>
      <c r="AC295" t="s">
        <v>33</v>
      </c>
      <c r="AE295" t="s">
        <v>38</v>
      </c>
      <c r="AF295">
        <v>7.6114849139223284E-2</v>
      </c>
      <c r="AH295" t="s">
        <v>244</v>
      </c>
      <c r="AJ295">
        <v>2.0413854684723912E-3</v>
      </c>
      <c r="AK295">
        <v>2.0413854684723912E-3</v>
      </c>
      <c r="AL295">
        <v>0</v>
      </c>
      <c r="AN295" t="s">
        <v>144</v>
      </c>
      <c r="AQ295">
        <v>1.5537974696777871E-4</v>
      </c>
    </row>
    <row r="296" spans="1:43" x14ac:dyDescent="0.2">
      <c r="A296">
        <v>294</v>
      </c>
      <c r="B296">
        <v>96</v>
      </c>
      <c r="C296">
        <v>6</v>
      </c>
      <c r="F296" t="s">
        <v>29</v>
      </c>
      <c r="G296" t="s">
        <v>402</v>
      </c>
      <c r="I296">
        <v>2.1471472402351961E-6</v>
      </c>
      <c r="J296">
        <v>2.1413807098339999</v>
      </c>
      <c r="K296">
        <v>2.1413807098339999</v>
      </c>
      <c r="L296" s="1"/>
      <c r="M296" s="1"/>
      <c r="N296" s="1">
        <v>43164</v>
      </c>
      <c r="R296">
        <v>-2.4313878536657216E-3</v>
      </c>
      <c r="S296">
        <v>-2.4313878536657216E-3</v>
      </c>
      <c r="T296" t="s">
        <v>32</v>
      </c>
      <c r="U296" t="s">
        <v>32</v>
      </c>
      <c r="W296" t="s">
        <v>283</v>
      </c>
      <c r="Z296" t="s">
        <v>31</v>
      </c>
      <c r="AA296">
        <v>1.5686437857870882E-3</v>
      </c>
      <c r="AC296" t="s">
        <v>33</v>
      </c>
      <c r="AD296" t="s">
        <v>33</v>
      </c>
      <c r="AE296" t="s">
        <v>38</v>
      </c>
      <c r="AF296">
        <v>1.65</v>
      </c>
      <c r="AG296">
        <v>1.65</v>
      </c>
      <c r="AH296" t="s">
        <v>244</v>
      </c>
      <c r="AI296" t="s">
        <v>244</v>
      </c>
      <c r="AJ296">
        <v>-8.8309532228599994E-4</v>
      </c>
      <c r="AK296">
        <v>0</v>
      </c>
      <c r="AL296">
        <v>8.8309532228599994E-4</v>
      </c>
      <c r="AM296" t="s">
        <v>38</v>
      </c>
      <c r="AN296" t="s">
        <v>33</v>
      </c>
      <c r="AO296" t="s">
        <v>33</v>
      </c>
      <c r="AP296" t="s">
        <v>31</v>
      </c>
    </row>
    <row r="297" spans="1:43" x14ac:dyDescent="0.2">
      <c r="A297">
        <v>295</v>
      </c>
      <c r="B297">
        <v>87</v>
      </c>
      <c r="C297">
        <v>6</v>
      </c>
      <c r="D297">
        <v>18500</v>
      </c>
      <c r="E297" t="s">
        <v>296</v>
      </c>
      <c r="F297" t="s">
        <v>29</v>
      </c>
      <c r="G297" t="s">
        <v>297</v>
      </c>
      <c r="H297">
        <v>8.6034036137026832E-3</v>
      </c>
      <c r="I297">
        <v>-7.9182145720367737E-6</v>
      </c>
      <c r="J297">
        <v>1.04</v>
      </c>
      <c r="K297">
        <v>1.0496372183841001</v>
      </c>
      <c r="L297" s="1">
        <v>43556</v>
      </c>
      <c r="M297" s="1">
        <v>43165</v>
      </c>
      <c r="N297" s="1">
        <v>43164</v>
      </c>
      <c r="R297">
        <v>-1.1321890462595416E-3</v>
      </c>
      <c r="S297">
        <v>-1.1321890462595416E-3</v>
      </c>
      <c r="T297" t="s">
        <v>32</v>
      </c>
      <c r="U297" t="s">
        <v>32</v>
      </c>
      <c r="V297">
        <v>515757427</v>
      </c>
      <c r="W297" t="s">
        <v>203</v>
      </c>
      <c r="X297" t="s">
        <v>298</v>
      </c>
      <c r="Y297">
        <v>18500</v>
      </c>
      <c r="Z297" t="s">
        <v>31</v>
      </c>
      <c r="AA297">
        <v>-5.7848189682574757E-3</v>
      </c>
      <c r="AB297">
        <v>101.96</v>
      </c>
      <c r="AC297" t="s">
        <v>138</v>
      </c>
      <c r="AD297" t="s">
        <v>138</v>
      </c>
      <c r="AE297" t="s">
        <v>41</v>
      </c>
      <c r="AF297">
        <v>8.0014849139223285E-2</v>
      </c>
      <c r="AG297">
        <v>1.48</v>
      </c>
      <c r="AH297" t="s">
        <v>244</v>
      </c>
      <c r="AI297" t="s">
        <v>244</v>
      </c>
      <c r="AJ297">
        <v>6.9937212325066177E-3</v>
      </c>
      <c r="AK297">
        <v>8.2725034747141175E-3</v>
      </c>
      <c r="AL297">
        <v>1.2787822422074999E-3</v>
      </c>
      <c r="AM297" t="s">
        <v>41</v>
      </c>
      <c r="AN297" t="s">
        <v>142</v>
      </c>
      <c r="AO297" t="s">
        <v>138</v>
      </c>
      <c r="AP297" t="s">
        <v>31</v>
      </c>
      <c r="AQ297">
        <v>6.6192311753295052E-4</v>
      </c>
    </row>
    <row r="298" spans="1:43" x14ac:dyDescent="0.2">
      <c r="A298">
        <v>296</v>
      </c>
      <c r="B298">
        <v>87</v>
      </c>
      <c r="C298">
        <v>6</v>
      </c>
      <c r="D298">
        <v>10000</v>
      </c>
      <c r="E298" t="s">
        <v>296</v>
      </c>
      <c r="F298" t="s">
        <v>29</v>
      </c>
      <c r="G298" t="s">
        <v>305</v>
      </c>
      <c r="H298">
        <v>8.5737404476997122E-3</v>
      </c>
      <c r="I298">
        <v>-3.6843102666032279E-6</v>
      </c>
      <c r="J298">
        <v>1.95</v>
      </c>
      <c r="K298">
        <v>1.9542246284377001</v>
      </c>
      <c r="L298" s="1">
        <v>43891</v>
      </c>
      <c r="M298" s="1">
        <v>43165</v>
      </c>
      <c r="N298" s="1">
        <v>43164</v>
      </c>
      <c r="R298">
        <v>-1.1321890462595416E-3</v>
      </c>
      <c r="S298">
        <v>-1.1321890462595416E-3</v>
      </c>
      <c r="T298" t="s">
        <v>32</v>
      </c>
      <c r="U298" t="s">
        <v>32</v>
      </c>
      <c r="V298">
        <v>274122228</v>
      </c>
      <c r="W298" t="s">
        <v>203</v>
      </c>
      <c r="X298" t="s">
        <v>298</v>
      </c>
      <c r="Y298">
        <v>10000</v>
      </c>
      <c r="Z298" t="s">
        <v>31</v>
      </c>
      <c r="AA298">
        <v>-2.6916507151068308E-3</v>
      </c>
      <c r="AB298">
        <v>101.67</v>
      </c>
      <c r="AC298" t="s">
        <v>138</v>
      </c>
      <c r="AD298" t="s">
        <v>138</v>
      </c>
      <c r="AE298" t="s">
        <v>41</v>
      </c>
      <c r="AF298">
        <v>8.2314849139223281E-2</v>
      </c>
      <c r="AG298">
        <v>1.7</v>
      </c>
      <c r="AH298" t="s">
        <v>244</v>
      </c>
      <c r="AI298" t="s">
        <v>244</v>
      </c>
      <c r="AJ298">
        <v>3.25414759909154E-3</v>
      </c>
      <c r="AK298">
        <v>4.39678997317934E-3</v>
      </c>
      <c r="AL298">
        <v>1.1426423740877999E-3</v>
      </c>
      <c r="AM298" t="s">
        <v>41</v>
      </c>
      <c r="AN298" t="s">
        <v>142</v>
      </c>
      <c r="AO298" t="s">
        <v>138</v>
      </c>
      <c r="AP298" t="s">
        <v>31</v>
      </c>
      <c r="AQ298">
        <v>3.6192110333910693E-4</v>
      </c>
    </row>
    <row r="299" spans="1:43" x14ac:dyDescent="0.2">
      <c r="A299">
        <v>297</v>
      </c>
      <c r="B299">
        <v>99</v>
      </c>
      <c r="C299">
        <v>6</v>
      </c>
      <c r="D299">
        <v>20000</v>
      </c>
      <c r="E299" t="s">
        <v>731</v>
      </c>
      <c r="F299" t="s">
        <v>29</v>
      </c>
      <c r="G299" t="s">
        <v>732</v>
      </c>
      <c r="H299">
        <v>3.2266436314242905E-2</v>
      </c>
      <c r="I299">
        <v>-1.8765910292598784E-5</v>
      </c>
      <c r="J299">
        <v>3.61</v>
      </c>
      <c r="K299">
        <v>3.6124666710072</v>
      </c>
      <c r="L299" s="1">
        <v>44545</v>
      </c>
      <c r="M299" s="1">
        <v>43165</v>
      </c>
      <c r="N299" s="1">
        <v>43164</v>
      </c>
      <c r="R299">
        <v>-2.4229989783995497E-3</v>
      </c>
      <c r="S299">
        <v>-2.4229989783995497E-3</v>
      </c>
      <c r="T299" t="s">
        <v>32</v>
      </c>
      <c r="U299" t="s">
        <v>32</v>
      </c>
      <c r="V299">
        <v>557252894</v>
      </c>
      <c r="W299" t="s">
        <v>289</v>
      </c>
      <c r="X299" t="s">
        <v>733</v>
      </c>
      <c r="Y299">
        <v>20000</v>
      </c>
      <c r="Z299" t="s">
        <v>31</v>
      </c>
      <c r="AA299">
        <v>-1.3709832289796083E-2</v>
      </c>
      <c r="AB299">
        <v>102.78</v>
      </c>
      <c r="AC299" t="s">
        <v>34</v>
      </c>
      <c r="AD299" t="s">
        <v>34</v>
      </c>
      <c r="AE299" t="s">
        <v>44</v>
      </c>
      <c r="AF299">
        <v>8.3214849139223279E-2</v>
      </c>
      <c r="AG299">
        <v>1.8</v>
      </c>
      <c r="AH299" t="s">
        <v>244</v>
      </c>
      <c r="AI299" t="s">
        <v>244</v>
      </c>
      <c r="AJ299">
        <v>7.7449105261258207E-3</v>
      </c>
      <c r="AK299">
        <v>8.9380710011753208E-3</v>
      </c>
      <c r="AL299">
        <v>1.1931604750494999E-3</v>
      </c>
      <c r="AM299" t="s">
        <v>44</v>
      </c>
      <c r="AN299" t="s">
        <v>50</v>
      </c>
      <c r="AO299" t="s">
        <v>34</v>
      </c>
      <c r="AP299" t="s">
        <v>31</v>
      </c>
      <c r="AQ299">
        <v>7.4378022995847065E-4</v>
      </c>
    </row>
    <row r="300" spans="1:43" x14ac:dyDescent="0.2">
      <c r="A300">
        <v>298</v>
      </c>
      <c r="B300">
        <v>102</v>
      </c>
      <c r="C300">
        <v>6</v>
      </c>
      <c r="D300">
        <v>10000</v>
      </c>
      <c r="E300" t="s">
        <v>731</v>
      </c>
      <c r="F300" t="s">
        <v>29</v>
      </c>
      <c r="G300" t="s">
        <v>734</v>
      </c>
      <c r="H300">
        <v>3.497994864352319E-2</v>
      </c>
      <c r="I300">
        <v>-8.2338010554507562E-6</v>
      </c>
      <c r="J300">
        <v>7.82</v>
      </c>
      <c r="L300" s="1">
        <v>46371</v>
      </c>
      <c r="M300" s="1">
        <v>43165</v>
      </c>
      <c r="N300" s="1"/>
      <c r="R300">
        <v>-1.8407209487297778E-3</v>
      </c>
      <c r="T300" t="s">
        <v>32</v>
      </c>
      <c r="V300">
        <v>278882297</v>
      </c>
      <c r="W300" t="s">
        <v>289</v>
      </c>
      <c r="X300" t="s">
        <v>735</v>
      </c>
      <c r="Y300">
        <v>10000</v>
      </c>
      <c r="Z300" t="s">
        <v>31</v>
      </c>
      <c r="AA300">
        <v>-6.0153773420891258E-3</v>
      </c>
      <c r="AB300">
        <v>102.84</v>
      </c>
      <c r="AC300" t="s">
        <v>34</v>
      </c>
      <c r="AE300" t="s">
        <v>44</v>
      </c>
      <c r="AF300">
        <v>8.9314849139223287E-2</v>
      </c>
      <c r="AH300" t="s">
        <v>244</v>
      </c>
      <c r="AJ300">
        <v>4.4731392127267504E-3</v>
      </c>
      <c r="AK300">
        <v>4.4731392127267504E-3</v>
      </c>
      <c r="AL300">
        <v>0</v>
      </c>
      <c r="AN300" t="s">
        <v>50</v>
      </c>
      <c r="AQ300">
        <v>3.9951775396343374E-4</v>
      </c>
    </row>
    <row r="301" spans="1:43" x14ac:dyDescent="0.2">
      <c r="A301">
        <v>299</v>
      </c>
      <c r="B301">
        <v>93</v>
      </c>
      <c r="C301">
        <v>6</v>
      </c>
      <c r="F301" t="s">
        <v>29</v>
      </c>
      <c r="G301" t="s">
        <v>980</v>
      </c>
      <c r="I301">
        <v>6.1802271167655694E-7</v>
      </c>
      <c r="J301">
        <v>0.78002155026903996</v>
      </c>
      <c r="K301">
        <v>0.78002155026903996</v>
      </c>
      <c r="L301" s="1"/>
      <c r="M301" s="1"/>
      <c r="N301" s="1">
        <v>43164</v>
      </c>
      <c r="R301">
        <v>-2.1922679503766566E-3</v>
      </c>
      <c r="S301">
        <v>-2.1922679503766566E-3</v>
      </c>
      <c r="T301" t="s">
        <v>32</v>
      </c>
      <c r="U301" t="s">
        <v>32</v>
      </c>
      <c r="W301" t="s">
        <v>736</v>
      </c>
      <c r="Z301" t="s">
        <v>31</v>
      </c>
      <c r="AA301">
        <v>4.5150955089625017E-4</v>
      </c>
      <c r="AC301" t="s">
        <v>36</v>
      </c>
      <c r="AD301" t="s">
        <v>36</v>
      </c>
      <c r="AE301" t="s">
        <v>169</v>
      </c>
      <c r="AF301">
        <v>1.33</v>
      </c>
      <c r="AG301">
        <v>1.33</v>
      </c>
      <c r="AH301" t="s">
        <v>244</v>
      </c>
      <c r="AI301" t="s">
        <v>244</v>
      </c>
      <c r="AJ301">
        <v>-2.8191020699379999E-4</v>
      </c>
      <c r="AK301">
        <v>0</v>
      </c>
      <c r="AL301">
        <v>2.8191020699379999E-4</v>
      </c>
      <c r="AM301" t="s">
        <v>169</v>
      </c>
      <c r="AN301" t="s">
        <v>36</v>
      </c>
      <c r="AO301" t="s">
        <v>36</v>
      </c>
      <c r="AP301" t="s">
        <v>31</v>
      </c>
    </row>
    <row r="302" spans="1:43" x14ac:dyDescent="0.2">
      <c r="A302">
        <v>300</v>
      </c>
      <c r="B302">
        <v>102</v>
      </c>
      <c r="C302">
        <v>6</v>
      </c>
      <c r="F302" t="s">
        <v>29</v>
      </c>
      <c r="G302" t="s">
        <v>1065</v>
      </c>
      <c r="I302">
        <v>1.693376521567082E-6</v>
      </c>
      <c r="J302">
        <v>7.9091151897653003</v>
      </c>
      <c r="K302">
        <v>7.9091151897653003</v>
      </c>
      <c r="L302" s="1"/>
      <c r="M302" s="1"/>
      <c r="N302" s="1">
        <v>43164</v>
      </c>
      <c r="R302">
        <v>-1.8407209487297778E-3</v>
      </c>
      <c r="S302">
        <v>-1.8407209487297778E-3</v>
      </c>
      <c r="T302" t="s">
        <v>32</v>
      </c>
      <c r="U302" t="s">
        <v>32</v>
      </c>
      <c r="W302" t="s">
        <v>736</v>
      </c>
      <c r="Z302" t="s">
        <v>31</v>
      </c>
      <c r="AA302">
        <v>1.2371319990439919E-3</v>
      </c>
      <c r="AC302" t="s">
        <v>36</v>
      </c>
      <c r="AD302" t="s">
        <v>36</v>
      </c>
      <c r="AE302" t="s">
        <v>169</v>
      </c>
      <c r="AF302">
        <v>2.37</v>
      </c>
      <c r="AG302">
        <v>2.37</v>
      </c>
      <c r="AH302" t="s">
        <v>244</v>
      </c>
      <c r="AI302" t="s">
        <v>244</v>
      </c>
      <c r="AJ302">
        <v>-9.1995287103980997E-4</v>
      </c>
      <c r="AK302">
        <v>0</v>
      </c>
      <c r="AL302">
        <v>9.1995287103980997E-4</v>
      </c>
      <c r="AM302" t="s">
        <v>169</v>
      </c>
      <c r="AN302" t="s">
        <v>36</v>
      </c>
      <c r="AO302" t="s">
        <v>36</v>
      </c>
      <c r="AP302" t="s">
        <v>31</v>
      </c>
    </row>
    <row r="303" spans="1:43" x14ac:dyDescent="0.2">
      <c r="A303">
        <v>301</v>
      </c>
      <c r="B303">
        <v>102</v>
      </c>
      <c r="C303">
        <v>6</v>
      </c>
      <c r="F303" t="s">
        <v>29</v>
      </c>
      <c r="G303" t="s">
        <v>737</v>
      </c>
      <c r="I303">
        <v>4.2896330398349827E-6</v>
      </c>
      <c r="J303">
        <v>8.7049794903684994</v>
      </c>
      <c r="K303">
        <v>8.7049794903684994</v>
      </c>
      <c r="L303" s="1"/>
      <c r="M303" s="1"/>
      <c r="N303" s="1">
        <v>43164</v>
      </c>
      <c r="R303">
        <v>-1.8407209487297778E-3</v>
      </c>
      <c r="S303">
        <v>-1.8407209487297778E-3</v>
      </c>
      <c r="T303" t="s">
        <v>32</v>
      </c>
      <c r="U303" t="s">
        <v>32</v>
      </c>
      <c r="AA303">
        <v>3.1338820576212768E-3</v>
      </c>
      <c r="AC303" t="s">
        <v>36</v>
      </c>
      <c r="AD303" t="s">
        <v>36</v>
      </c>
      <c r="AF303">
        <v>2.42</v>
      </c>
      <c r="AG303">
        <v>2.42</v>
      </c>
      <c r="AH303" t="s">
        <v>244</v>
      </c>
      <c r="AI303" t="s">
        <v>244</v>
      </c>
      <c r="AJ303">
        <v>-2.3304092034129999E-3</v>
      </c>
      <c r="AK303">
        <v>0</v>
      </c>
      <c r="AL303">
        <v>2.3304092034129999E-3</v>
      </c>
      <c r="AN303" t="s">
        <v>36</v>
      </c>
      <c r="AO303" t="s">
        <v>36</v>
      </c>
    </row>
    <row r="304" spans="1:43" x14ac:dyDescent="0.2">
      <c r="A304">
        <v>302</v>
      </c>
      <c r="B304">
        <v>145</v>
      </c>
      <c r="C304">
        <v>6</v>
      </c>
      <c r="D304">
        <v>300000000</v>
      </c>
      <c r="E304" t="s">
        <v>436</v>
      </c>
      <c r="F304" t="s">
        <v>29</v>
      </c>
      <c r="G304" t="s">
        <v>437</v>
      </c>
      <c r="H304">
        <v>2.9642932592925573E-3</v>
      </c>
      <c r="I304">
        <v>-6.3832888825802272E-7</v>
      </c>
      <c r="J304">
        <v>0.6</v>
      </c>
      <c r="K304">
        <v>0.60192296894916997</v>
      </c>
      <c r="L304" s="1">
        <v>43388</v>
      </c>
      <c r="M304" s="1">
        <v>43165</v>
      </c>
      <c r="N304" s="1">
        <v>43164</v>
      </c>
      <c r="R304">
        <v>-1.7219065136765173E-4</v>
      </c>
      <c r="S304">
        <v>4.8543139737796264E-5</v>
      </c>
      <c r="T304" t="s">
        <v>39</v>
      </c>
      <c r="U304" t="s">
        <v>39</v>
      </c>
      <c r="V304">
        <v>308019668</v>
      </c>
      <c r="W304" t="s">
        <v>438</v>
      </c>
      <c r="X304" t="s">
        <v>439</v>
      </c>
      <c r="Y304">
        <v>300000000</v>
      </c>
      <c r="Z304" t="s">
        <v>31</v>
      </c>
      <c r="AA304">
        <v>-4.6634465726935683E-4</v>
      </c>
      <c r="AB304">
        <v>100.78</v>
      </c>
      <c r="AC304" t="s">
        <v>42</v>
      </c>
      <c r="AD304" t="s">
        <v>34</v>
      </c>
      <c r="AE304" t="s">
        <v>41</v>
      </c>
      <c r="AF304">
        <v>3.5499999999999997E-2</v>
      </c>
      <c r="AG304">
        <v>3.55</v>
      </c>
      <c r="AH304" t="s">
        <v>244</v>
      </c>
      <c r="AI304" t="s">
        <v>244</v>
      </c>
      <c r="AJ304">
        <v>3.707105369472696E-3</v>
      </c>
      <c r="AK304">
        <v>4.9404887654875959E-3</v>
      </c>
      <c r="AL304">
        <v>1.2333833960148999E-3</v>
      </c>
      <c r="AM304" t="s">
        <v>41</v>
      </c>
      <c r="AN304" t="s">
        <v>138</v>
      </c>
      <c r="AO304" t="s">
        <v>34</v>
      </c>
      <c r="AP304" t="s">
        <v>31</v>
      </c>
      <c r="AQ304">
        <v>1.7538735117480963E-4</v>
      </c>
    </row>
    <row r="305" spans="1:43" x14ac:dyDescent="0.2">
      <c r="A305">
        <v>303</v>
      </c>
      <c r="B305">
        <v>96</v>
      </c>
      <c r="C305">
        <v>6</v>
      </c>
      <c r="D305">
        <v>1000</v>
      </c>
      <c r="E305" t="s">
        <v>335</v>
      </c>
      <c r="F305" t="s">
        <v>29</v>
      </c>
      <c r="G305" t="s">
        <v>738</v>
      </c>
      <c r="H305">
        <v>5.3826352606764721E-4</v>
      </c>
      <c r="I305">
        <v>9.1531518986690939E-6</v>
      </c>
      <c r="J305">
        <v>1.22</v>
      </c>
      <c r="K305">
        <v>1.2228415953855001</v>
      </c>
      <c r="L305" s="1">
        <v>43617</v>
      </c>
      <c r="M305" s="1">
        <v>43165</v>
      </c>
      <c r="N305" s="1">
        <v>43164</v>
      </c>
      <c r="R305">
        <v>-2.4313878536657216E-3</v>
      </c>
      <c r="S305">
        <v>-2.4313878536657216E-3</v>
      </c>
      <c r="T305" t="s">
        <v>32</v>
      </c>
      <c r="U305" t="s">
        <v>32</v>
      </c>
      <c r="V305">
        <v>27507027</v>
      </c>
      <c r="W305" t="s">
        <v>286</v>
      </c>
      <c r="X305" t="s">
        <v>337</v>
      </c>
      <c r="Y305">
        <v>1000</v>
      </c>
      <c r="Z305" t="s">
        <v>31</v>
      </c>
      <c r="AA305">
        <v>6.6870285265764069E-3</v>
      </c>
      <c r="AB305">
        <v>101.39</v>
      </c>
      <c r="AC305" t="s">
        <v>34</v>
      </c>
      <c r="AD305" t="s">
        <v>34</v>
      </c>
      <c r="AE305" t="s">
        <v>41</v>
      </c>
      <c r="AF305">
        <v>7.8614849139223286E-2</v>
      </c>
      <c r="AG305">
        <v>1.35</v>
      </c>
      <c r="AH305" t="s">
        <v>244</v>
      </c>
      <c r="AI305" t="s">
        <v>244</v>
      </c>
      <c r="AJ305">
        <v>-3.7645791003147419E-3</v>
      </c>
      <c r="AK305">
        <v>4.4119961153085837E-4</v>
      </c>
      <c r="AL305">
        <v>4.2057787118456001E-3</v>
      </c>
      <c r="AM305" t="s">
        <v>41</v>
      </c>
      <c r="AN305" t="s">
        <v>50</v>
      </c>
      <c r="AO305" t="s">
        <v>34</v>
      </c>
      <c r="AP305" t="s">
        <v>31</v>
      </c>
      <c r="AQ305">
        <v>3.4684840900782351E-5</v>
      </c>
    </row>
    <row r="306" spans="1:43" x14ac:dyDescent="0.2">
      <c r="A306">
        <v>304</v>
      </c>
      <c r="B306">
        <v>96</v>
      </c>
      <c r="C306">
        <v>6</v>
      </c>
      <c r="D306">
        <v>24000</v>
      </c>
      <c r="E306" t="s">
        <v>335</v>
      </c>
      <c r="F306" t="s">
        <v>29</v>
      </c>
      <c r="G306" t="s">
        <v>739</v>
      </c>
      <c r="H306">
        <v>2.3184683577009195E-2</v>
      </c>
      <c r="I306">
        <v>-1.558935749857276E-5</v>
      </c>
      <c r="J306">
        <v>2.1800000000000002</v>
      </c>
      <c r="K306">
        <v>2.1894231395581998</v>
      </c>
      <c r="L306" s="1">
        <v>43983</v>
      </c>
      <c r="M306" s="1">
        <v>43165</v>
      </c>
      <c r="N306" s="1">
        <v>43164</v>
      </c>
      <c r="R306">
        <v>-2.4313878536657216E-3</v>
      </c>
      <c r="S306">
        <v>-2.4313878536657216E-3</v>
      </c>
      <c r="T306" t="s">
        <v>32</v>
      </c>
      <c r="U306" t="s">
        <v>32</v>
      </c>
      <c r="V306">
        <v>663060584</v>
      </c>
      <c r="W306" t="s">
        <v>286</v>
      </c>
      <c r="X306" t="s">
        <v>337</v>
      </c>
      <c r="Y306">
        <v>24000</v>
      </c>
      <c r="Z306" t="s">
        <v>31</v>
      </c>
      <c r="AA306">
        <v>-1.1389134525246078E-2</v>
      </c>
      <c r="AB306">
        <v>101.91</v>
      </c>
      <c r="AC306" t="s">
        <v>34</v>
      </c>
      <c r="AD306" t="s">
        <v>34</v>
      </c>
      <c r="AE306" t="s">
        <v>41</v>
      </c>
      <c r="AF306">
        <v>7.8814849139223292E-2</v>
      </c>
      <c r="AG306">
        <v>1.38</v>
      </c>
      <c r="AH306" t="s">
        <v>244</v>
      </c>
      <c r="AI306" t="s">
        <v>244</v>
      </c>
      <c r="AJ306">
        <v>6.4117115149149115E-3</v>
      </c>
      <c r="AK306">
        <v>1.0635175952756511E-2</v>
      </c>
      <c r="AL306">
        <v>4.2234644378415995E-3</v>
      </c>
      <c r="AM306" t="s">
        <v>41</v>
      </c>
      <c r="AN306" t="s">
        <v>50</v>
      </c>
      <c r="AO306" t="s">
        <v>34</v>
      </c>
      <c r="AP306" t="s">
        <v>31</v>
      </c>
      <c r="AQ306">
        <v>8.382097882855998E-4</v>
      </c>
    </row>
    <row r="307" spans="1:43" x14ac:dyDescent="0.2">
      <c r="A307">
        <v>305</v>
      </c>
      <c r="B307">
        <v>99</v>
      </c>
      <c r="C307">
        <v>6</v>
      </c>
      <c r="D307">
        <v>15000</v>
      </c>
      <c r="E307" t="s">
        <v>335</v>
      </c>
      <c r="F307" t="s">
        <v>29</v>
      </c>
      <c r="G307" t="s">
        <v>740</v>
      </c>
      <c r="H307">
        <v>2.1884871875746864E-2</v>
      </c>
      <c r="I307">
        <v>-5.8817716380564242E-6</v>
      </c>
      <c r="J307">
        <v>3.29</v>
      </c>
      <c r="K307">
        <v>3.2906665536961999</v>
      </c>
      <c r="L307" s="1">
        <v>44409</v>
      </c>
      <c r="M307" s="1">
        <v>43165</v>
      </c>
      <c r="N307" s="1">
        <v>43164</v>
      </c>
      <c r="R307">
        <v>-2.4229989783995497E-3</v>
      </c>
      <c r="S307">
        <v>-2.4229989783995497E-3</v>
      </c>
      <c r="T307" t="s">
        <v>32</v>
      </c>
      <c r="U307" t="s">
        <v>32</v>
      </c>
      <c r="V307">
        <v>414721588</v>
      </c>
      <c r="W307" t="s">
        <v>286</v>
      </c>
      <c r="X307" t="s">
        <v>337</v>
      </c>
      <c r="Y307">
        <v>15000</v>
      </c>
      <c r="Z307" t="s">
        <v>31</v>
      </c>
      <c r="AA307">
        <v>-4.2970525525977913E-3</v>
      </c>
      <c r="AB307">
        <v>102.36</v>
      </c>
      <c r="AC307" t="s">
        <v>34</v>
      </c>
      <c r="AD307" t="s">
        <v>34</v>
      </c>
      <c r="AE307" t="s">
        <v>41</v>
      </c>
      <c r="AF307">
        <v>8.1914849139223284E-2</v>
      </c>
      <c r="AG307">
        <v>1.69</v>
      </c>
      <c r="AH307" t="s">
        <v>244</v>
      </c>
      <c r="AI307" t="s">
        <v>244</v>
      </c>
      <c r="AJ307">
        <v>2.4274759050626916E-3</v>
      </c>
      <c r="AK307">
        <v>6.6519367403485912E-3</v>
      </c>
      <c r="AL307">
        <v>4.2244608352858997E-3</v>
      </c>
      <c r="AM307" t="s">
        <v>41</v>
      </c>
      <c r="AN307" t="s">
        <v>50</v>
      </c>
      <c r="AO307" t="s">
        <v>34</v>
      </c>
      <c r="AP307" t="s">
        <v>31</v>
      </c>
      <c r="AQ307">
        <v>5.4489239456931152E-4</v>
      </c>
    </row>
    <row r="308" spans="1:43" x14ac:dyDescent="0.2">
      <c r="A308">
        <v>306</v>
      </c>
      <c r="B308">
        <v>99</v>
      </c>
      <c r="C308">
        <v>6</v>
      </c>
      <c r="F308" t="s">
        <v>29</v>
      </c>
      <c r="G308" t="s">
        <v>1066</v>
      </c>
      <c r="I308">
        <v>1.0282854257206671E-5</v>
      </c>
      <c r="J308">
        <v>4.3382932624872996</v>
      </c>
      <c r="K308">
        <v>4.3382932624872996</v>
      </c>
      <c r="L308" s="1"/>
      <c r="M308" s="1"/>
      <c r="N308" s="1">
        <v>43164</v>
      </c>
      <c r="R308">
        <v>-2.4229989783995497E-3</v>
      </c>
      <c r="S308">
        <v>-2.4229989783995497E-3</v>
      </c>
      <c r="T308" t="s">
        <v>32</v>
      </c>
      <c r="U308" t="s">
        <v>32</v>
      </c>
      <c r="AA308">
        <v>7.5123564553284533E-3</v>
      </c>
      <c r="AC308" t="s">
        <v>34</v>
      </c>
      <c r="AD308" t="s">
        <v>34</v>
      </c>
      <c r="AF308">
        <v>1.77</v>
      </c>
      <c r="AG308">
        <v>1.77</v>
      </c>
      <c r="AH308" t="s">
        <v>244</v>
      </c>
      <c r="AI308" t="s">
        <v>244</v>
      </c>
      <c r="AJ308">
        <v>-4.2438541447502994E-3</v>
      </c>
      <c r="AK308">
        <v>0</v>
      </c>
      <c r="AL308">
        <v>4.2438541447502994E-3</v>
      </c>
      <c r="AN308" t="s">
        <v>34</v>
      </c>
      <c r="AO308" t="s">
        <v>34</v>
      </c>
    </row>
    <row r="309" spans="1:43" x14ac:dyDescent="0.2">
      <c r="A309">
        <v>307</v>
      </c>
      <c r="B309">
        <v>102</v>
      </c>
      <c r="C309">
        <v>6</v>
      </c>
      <c r="F309" t="s">
        <v>29</v>
      </c>
      <c r="G309" t="s">
        <v>741</v>
      </c>
      <c r="I309">
        <v>4.4868861234333657E-6</v>
      </c>
      <c r="J309">
        <v>5.7351263057033002</v>
      </c>
      <c r="K309">
        <v>5.7351263057033002</v>
      </c>
      <c r="L309" s="1"/>
      <c r="M309" s="1"/>
      <c r="N309" s="1">
        <v>43164</v>
      </c>
      <c r="R309">
        <v>-1.8407209487297778E-3</v>
      </c>
      <c r="S309">
        <v>-1.8407209487297778E-3</v>
      </c>
      <c r="T309" t="s">
        <v>32</v>
      </c>
      <c r="U309" t="s">
        <v>32</v>
      </c>
      <c r="W309" t="s">
        <v>286</v>
      </c>
      <c r="Z309" t="s">
        <v>31</v>
      </c>
      <c r="AA309">
        <v>3.2779894658212152E-3</v>
      </c>
      <c r="AC309" t="s">
        <v>34</v>
      </c>
      <c r="AD309" t="s">
        <v>34</v>
      </c>
      <c r="AE309" t="s">
        <v>41</v>
      </c>
      <c r="AF309">
        <v>2.2000000000000002</v>
      </c>
      <c r="AG309">
        <v>2.2000000000000002</v>
      </c>
      <c r="AH309" t="s">
        <v>244</v>
      </c>
      <c r="AI309" t="s">
        <v>244</v>
      </c>
      <c r="AJ309">
        <v>-2.4375699785074002E-3</v>
      </c>
      <c r="AK309">
        <v>0</v>
      </c>
      <c r="AL309">
        <v>2.4375699785074002E-3</v>
      </c>
      <c r="AM309" t="s">
        <v>41</v>
      </c>
      <c r="AN309" t="s">
        <v>34</v>
      </c>
      <c r="AO309" t="s">
        <v>34</v>
      </c>
      <c r="AP309" t="s">
        <v>31</v>
      </c>
    </row>
    <row r="310" spans="1:43" x14ac:dyDescent="0.2">
      <c r="A310">
        <v>308</v>
      </c>
      <c r="B310">
        <v>99</v>
      </c>
      <c r="C310">
        <v>6</v>
      </c>
      <c r="F310" t="s">
        <v>29</v>
      </c>
      <c r="G310" t="s">
        <v>742</v>
      </c>
      <c r="I310">
        <v>8.5093920321891341E-6</v>
      </c>
      <c r="J310">
        <v>3.4532533059819999</v>
      </c>
      <c r="K310">
        <v>3.4532533059819999</v>
      </c>
      <c r="L310" s="1"/>
      <c r="M310" s="1"/>
      <c r="N310" s="1">
        <v>43164</v>
      </c>
      <c r="R310">
        <v>-2.4229989783995497E-3</v>
      </c>
      <c r="S310">
        <v>-2.4229989783995497E-3</v>
      </c>
      <c r="T310" t="s">
        <v>32</v>
      </c>
      <c r="U310" t="s">
        <v>32</v>
      </c>
      <c r="W310" t="s">
        <v>286</v>
      </c>
      <c r="Z310" t="s">
        <v>31</v>
      </c>
      <c r="AA310">
        <v>6.2167161534099078E-3</v>
      </c>
      <c r="AC310" t="s">
        <v>34</v>
      </c>
      <c r="AD310" t="s">
        <v>34</v>
      </c>
      <c r="AE310" t="s">
        <v>41</v>
      </c>
      <c r="AF310">
        <v>1.71</v>
      </c>
      <c r="AG310">
        <v>1.71</v>
      </c>
      <c r="AH310" t="s">
        <v>244</v>
      </c>
      <c r="AI310" t="s">
        <v>244</v>
      </c>
      <c r="AJ310">
        <v>-3.5119255550862E-3</v>
      </c>
      <c r="AK310">
        <v>0</v>
      </c>
      <c r="AL310">
        <v>3.5119255550862E-3</v>
      </c>
      <c r="AM310" t="s">
        <v>41</v>
      </c>
      <c r="AN310" t="s">
        <v>34</v>
      </c>
      <c r="AO310" t="s">
        <v>34</v>
      </c>
      <c r="AP310" t="s">
        <v>31</v>
      </c>
    </row>
    <row r="311" spans="1:43" x14ac:dyDescent="0.2">
      <c r="A311">
        <v>309</v>
      </c>
      <c r="B311">
        <v>99</v>
      </c>
      <c r="C311">
        <v>6</v>
      </c>
      <c r="F311" t="s">
        <v>29</v>
      </c>
      <c r="G311" t="s">
        <v>743</v>
      </c>
      <c r="I311">
        <v>8.6996145940597276E-6</v>
      </c>
      <c r="J311">
        <v>4.3103112226137998</v>
      </c>
      <c r="K311">
        <v>4.3103112226137998</v>
      </c>
      <c r="L311" s="1"/>
      <c r="M311" s="1"/>
      <c r="N311" s="1">
        <v>43164</v>
      </c>
      <c r="R311">
        <v>-2.4229989783995497E-3</v>
      </c>
      <c r="S311">
        <v>-2.4229989783995497E-3</v>
      </c>
      <c r="T311" t="s">
        <v>32</v>
      </c>
      <c r="U311" t="s">
        <v>32</v>
      </c>
      <c r="W311" t="s">
        <v>286</v>
      </c>
      <c r="Z311" t="s">
        <v>31</v>
      </c>
      <c r="AA311">
        <v>6.3556872654059911E-3</v>
      </c>
      <c r="AC311" t="s">
        <v>34</v>
      </c>
      <c r="AD311" t="s">
        <v>34</v>
      </c>
      <c r="AE311" t="s">
        <v>41</v>
      </c>
      <c r="AF311">
        <v>1.77</v>
      </c>
      <c r="AG311">
        <v>1.77</v>
      </c>
      <c r="AH311" t="s">
        <v>244</v>
      </c>
      <c r="AI311" t="s">
        <v>244</v>
      </c>
      <c r="AJ311">
        <v>-3.5904326298173E-3</v>
      </c>
      <c r="AK311">
        <v>0</v>
      </c>
      <c r="AL311">
        <v>3.5904326298173E-3</v>
      </c>
      <c r="AM311" t="s">
        <v>41</v>
      </c>
      <c r="AN311" t="s">
        <v>34</v>
      </c>
      <c r="AO311" t="s">
        <v>34</v>
      </c>
      <c r="AP311" t="s">
        <v>31</v>
      </c>
    </row>
    <row r="312" spans="1:43" x14ac:dyDescent="0.2">
      <c r="A312">
        <v>310</v>
      </c>
      <c r="B312">
        <v>102</v>
      </c>
      <c r="C312">
        <v>6</v>
      </c>
      <c r="F312" t="s">
        <v>29</v>
      </c>
      <c r="G312" t="s">
        <v>744</v>
      </c>
      <c r="I312">
        <v>8.366671658633314E-6</v>
      </c>
      <c r="J312">
        <v>5.0575183676693003</v>
      </c>
      <c r="K312">
        <v>5.0575183676693003</v>
      </c>
      <c r="L312" s="1"/>
      <c r="M312" s="1"/>
      <c r="N312" s="1">
        <v>43164</v>
      </c>
      <c r="R312">
        <v>-1.8407209487297778E-3</v>
      </c>
      <c r="S312">
        <v>-1.8407209487297778E-3</v>
      </c>
      <c r="T312" t="s">
        <v>32</v>
      </c>
      <c r="U312" t="s">
        <v>32</v>
      </c>
      <c r="W312" t="s">
        <v>286</v>
      </c>
      <c r="Z312" t="s">
        <v>31</v>
      </c>
      <c r="AA312">
        <v>6.1124487688131134E-3</v>
      </c>
      <c r="AC312" t="s">
        <v>34</v>
      </c>
      <c r="AD312" t="s">
        <v>34</v>
      </c>
      <c r="AE312" t="s">
        <v>41</v>
      </c>
      <c r="AF312">
        <v>1.9</v>
      </c>
      <c r="AG312">
        <v>1.9</v>
      </c>
      <c r="AH312" t="s">
        <v>244</v>
      </c>
      <c r="AI312" t="s">
        <v>244</v>
      </c>
      <c r="AJ312">
        <v>-4.5453232139324997E-3</v>
      </c>
      <c r="AK312">
        <v>0</v>
      </c>
      <c r="AL312">
        <v>4.5453232139324997E-3</v>
      </c>
      <c r="AM312" t="s">
        <v>41</v>
      </c>
      <c r="AN312" t="s">
        <v>34</v>
      </c>
      <c r="AO312" t="s">
        <v>34</v>
      </c>
      <c r="AP312" t="s">
        <v>31</v>
      </c>
    </row>
    <row r="313" spans="1:43" x14ac:dyDescent="0.2">
      <c r="A313">
        <v>311</v>
      </c>
      <c r="B313">
        <v>102</v>
      </c>
      <c r="C313">
        <v>6</v>
      </c>
      <c r="F313" t="s">
        <v>29</v>
      </c>
      <c r="G313" t="s">
        <v>745</v>
      </c>
      <c r="I313">
        <v>7.9531973826577426E-6</v>
      </c>
      <c r="J313">
        <v>5.7558957034064004</v>
      </c>
      <c r="K313">
        <v>5.7558957034064004</v>
      </c>
      <c r="L313" s="1"/>
      <c r="M313" s="1"/>
      <c r="N313" s="1">
        <v>43164</v>
      </c>
      <c r="R313">
        <v>-1.8407209487297778E-3</v>
      </c>
      <c r="S313">
        <v>-1.8407209487297778E-3</v>
      </c>
      <c r="T313" t="s">
        <v>32</v>
      </c>
      <c r="U313" t="s">
        <v>32</v>
      </c>
      <c r="W313" t="s">
        <v>286</v>
      </c>
      <c r="Z313" t="s">
        <v>31</v>
      </c>
      <c r="AA313">
        <v>5.8103763997468683E-3</v>
      </c>
      <c r="AC313" t="s">
        <v>34</v>
      </c>
      <c r="AD313" t="s">
        <v>34</v>
      </c>
      <c r="AE313" t="s">
        <v>41</v>
      </c>
      <c r="AF313">
        <v>2.0299999999999998</v>
      </c>
      <c r="AG313">
        <v>2.0299999999999998</v>
      </c>
      <c r="AH313" t="s">
        <v>244</v>
      </c>
      <c r="AI313" t="s">
        <v>244</v>
      </c>
      <c r="AJ313">
        <v>-4.3206969465665003E-3</v>
      </c>
      <c r="AK313">
        <v>0</v>
      </c>
      <c r="AL313">
        <v>4.3206969465665003E-3</v>
      </c>
      <c r="AM313" t="s">
        <v>41</v>
      </c>
      <c r="AN313" t="s">
        <v>34</v>
      </c>
      <c r="AO313" t="s">
        <v>34</v>
      </c>
      <c r="AP313" t="s">
        <v>31</v>
      </c>
    </row>
    <row r="314" spans="1:43" x14ac:dyDescent="0.2">
      <c r="A314">
        <v>312</v>
      </c>
      <c r="B314">
        <v>102</v>
      </c>
      <c r="C314">
        <v>6</v>
      </c>
      <c r="D314">
        <v>34000</v>
      </c>
      <c r="E314" t="s">
        <v>335</v>
      </c>
      <c r="F314" t="s">
        <v>29</v>
      </c>
      <c r="G314" t="s">
        <v>746</v>
      </c>
      <c r="H314">
        <v>9.8297510633884144E-2</v>
      </c>
      <c r="I314">
        <v>-2.0285948388642196E-5</v>
      </c>
      <c r="J314">
        <v>6.42</v>
      </c>
      <c r="K314">
        <v>6.4238495201839996</v>
      </c>
      <c r="L314" s="1">
        <v>45717</v>
      </c>
      <c r="M314" s="1">
        <v>43165</v>
      </c>
      <c r="N314" s="1">
        <v>43164</v>
      </c>
      <c r="R314">
        <v>-1.8407209487297778E-3</v>
      </c>
      <c r="S314">
        <v>-1.8407209487297778E-3</v>
      </c>
      <c r="T314" t="s">
        <v>32</v>
      </c>
      <c r="U314" t="s">
        <v>32</v>
      </c>
      <c r="V314">
        <v>954588117</v>
      </c>
      <c r="W314" t="s">
        <v>286</v>
      </c>
      <c r="X314" t="s">
        <v>337</v>
      </c>
      <c r="Y314">
        <v>34000</v>
      </c>
      <c r="Z314" t="s">
        <v>31</v>
      </c>
      <c r="AA314">
        <v>-1.4820328239415705E-2</v>
      </c>
      <c r="AB314">
        <v>104.13</v>
      </c>
      <c r="AC314" t="s">
        <v>34</v>
      </c>
      <c r="AD314" t="s">
        <v>34</v>
      </c>
      <c r="AE314" t="s">
        <v>41</v>
      </c>
      <c r="AF314">
        <v>8.6214849139223282E-2</v>
      </c>
      <c r="AG314">
        <v>2.13</v>
      </c>
      <c r="AH314" t="s">
        <v>244</v>
      </c>
      <c r="AI314" t="s">
        <v>244</v>
      </c>
      <c r="AJ314">
        <v>1.1020653838182737E-2</v>
      </c>
      <c r="AK314">
        <v>1.5311138728019338E-2</v>
      </c>
      <c r="AL314">
        <v>4.2904848898366E-3</v>
      </c>
      <c r="AM314" t="s">
        <v>41</v>
      </c>
      <c r="AN314" t="s">
        <v>50</v>
      </c>
      <c r="AO314" t="s">
        <v>34</v>
      </c>
      <c r="AP314" t="s">
        <v>31</v>
      </c>
      <c r="AQ314">
        <v>1.3200475155859062E-3</v>
      </c>
    </row>
    <row r="315" spans="1:43" x14ac:dyDescent="0.2">
      <c r="A315">
        <v>313</v>
      </c>
      <c r="B315">
        <v>102</v>
      </c>
      <c r="C315">
        <v>6</v>
      </c>
      <c r="D315">
        <v>5000</v>
      </c>
      <c r="E315" t="s">
        <v>335</v>
      </c>
      <c r="F315" t="s">
        <v>29</v>
      </c>
      <c r="G315" t="s">
        <v>747</v>
      </c>
      <c r="H315">
        <v>1.5368666088860639E-2</v>
      </c>
      <c r="I315">
        <v>-4.1358809391518595E-6</v>
      </c>
      <c r="J315">
        <v>6.84</v>
      </c>
      <c r="L315" s="1">
        <v>45901</v>
      </c>
      <c r="M315" s="1">
        <v>43165</v>
      </c>
      <c r="N315" s="1"/>
      <c r="R315">
        <v>-1.8407209487297778E-3</v>
      </c>
      <c r="T315" t="s">
        <v>32</v>
      </c>
      <c r="V315">
        <v>140084023</v>
      </c>
      <c r="W315" t="s">
        <v>286</v>
      </c>
      <c r="X315" t="s">
        <v>337</v>
      </c>
      <c r="Y315">
        <v>5000</v>
      </c>
      <c r="Z315" t="s">
        <v>31</v>
      </c>
      <c r="AA315">
        <v>-3.0215552116701475E-3</v>
      </c>
      <c r="AB315">
        <v>103.91</v>
      </c>
      <c r="AC315" t="s">
        <v>34</v>
      </c>
      <c r="AE315" t="s">
        <v>41</v>
      </c>
      <c r="AF315">
        <v>8.6914849139223288E-2</v>
      </c>
      <c r="AH315" t="s">
        <v>244</v>
      </c>
      <c r="AJ315">
        <v>2.2468810071433684E-3</v>
      </c>
      <c r="AK315">
        <v>2.2468810071433684E-3</v>
      </c>
      <c r="AL315">
        <v>0</v>
      </c>
      <c r="AN315" t="s">
        <v>50</v>
      </c>
      <c r="AQ315">
        <v>1.9528732376965195E-4</v>
      </c>
    </row>
    <row r="316" spans="1:43" x14ac:dyDescent="0.2">
      <c r="A316">
        <v>314</v>
      </c>
      <c r="B316">
        <v>102</v>
      </c>
      <c r="C316">
        <v>6</v>
      </c>
      <c r="F316" t="s">
        <v>29</v>
      </c>
      <c r="G316" t="s">
        <v>748</v>
      </c>
      <c r="I316">
        <v>7.955952732191768E-6</v>
      </c>
      <c r="J316">
        <v>7.621209309888</v>
      </c>
      <c r="K316">
        <v>7.621209309888</v>
      </c>
      <c r="L316" s="1"/>
      <c r="M316" s="1"/>
      <c r="N316" s="1">
        <v>43164</v>
      </c>
      <c r="R316">
        <v>-1.8407209487297778E-3</v>
      </c>
      <c r="S316">
        <v>-1.8407209487297778E-3</v>
      </c>
      <c r="T316" t="s">
        <v>32</v>
      </c>
      <c r="U316" t="s">
        <v>32</v>
      </c>
      <c r="AA316">
        <v>5.8123893785697583E-3</v>
      </c>
      <c r="AC316" t="s">
        <v>34</v>
      </c>
      <c r="AD316" t="s">
        <v>34</v>
      </c>
      <c r="AF316">
        <v>2.3199999999999998</v>
      </c>
      <c r="AG316">
        <v>2.3199999999999998</v>
      </c>
      <c r="AH316" t="s">
        <v>244</v>
      </c>
      <c r="AI316" t="s">
        <v>244</v>
      </c>
      <c r="AJ316">
        <v>-4.3221938326295003E-3</v>
      </c>
      <c r="AK316">
        <v>0</v>
      </c>
      <c r="AL316">
        <v>4.3221938326295003E-3</v>
      </c>
      <c r="AN316" t="s">
        <v>34</v>
      </c>
      <c r="AO316" t="s">
        <v>34</v>
      </c>
    </row>
    <row r="317" spans="1:43" x14ac:dyDescent="0.2">
      <c r="A317">
        <v>315</v>
      </c>
      <c r="B317">
        <v>93</v>
      </c>
      <c r="C317">
        <v>6</v>
      </c>
      <c r="F317" t="s">
        <v>29</v>
      </c>
      <c r="G317" t="s">
        <v>336</v>
      </c>
      <c r="I317">
        <v>8.9756178683979332E-7</v>
      </c>
      <c r="J317">
        <v>0.82254062228568003</v>
      </c>
      <c r="K317">
        <v>0.82254062228568003</v>
      </c>
      <c r="L317" s="1"/>
      <c r="M317" s="1"/>
      <c r="N317" s="1">
        <v>43164</v>
      </c>
      <c r="R317">
        <v>-2.1922679503766566E-3</v>
      </c>
      <c r="S317">
        <v>-2.1922679503766566E-3</v>
      </c>
      <c r="T317" t="s">
        <v>32</v>
      </c>
      <c r="U317" t="s">
        <v>32</v>
      </c>
      <c r="W317" t="s">
        <v>286</v>
      </c>
      <c r="Z317" t="s">
        <v>31</v>
      </c>
      <c r="AA317">
        <v>6.5573272894502155E-4</v>
      </c>
      <c r="AC317" t="s">
        <v>34</v>
      </c>
      <c r="AD317" t="s">
        <v>34</v>
      </c>
      <c r="AE317" t="s">
        <v>41</v>
      </c>
      <c r="AF317">
        <v>1.28</v>
      </c>
      <c r="AG317">
        <v>1.28</v>
      </c>
      <c r="AH317" t="s">
        <v>244</v>
      </c>
      <c r="AI317" t="s">
        <v>244</v>
      </c>
      <c r="AJ317">
        <v>-4.0942157033567998E-4</v>
      </c>
      <c r="AK317">
        <v>0</v>
      </c>
      <c r="AL317">
        <v>4.0942157033567998E-4</v>
      </c>
      <c r="AM317" t="s">
        <v>41</v>
      </c>
      <c r="AN317" t="s">
        <v>34</v>
      </c>
      <c r="AO317" t="s">
        <v>34</v>
      </c>
      <c r="AP317" t="s">
        <v>31</v>
      </c>
    </row>
    <row r="318" spans="1:43" x14ac:dyDescent="0.2">
      <c r="A318">
        <v>316</v>
      </c>
      <c r="B318">
        <v>96</v>
      </c>
      <c r="C318">
        <v>6</v>
      </c>
      <c r="F318" t="s">
        <v>29</v>
      </c>
      <c r="G318" t="s">
        <v>749</v>
      </c>
      <c r="I318">
        <v>6.1728465776780485E-6</v>
      </c>
      <c r="J318">
        <v>1.3015823136025999</v>
      </c>
      <c r="K318">
        <v>1.3015823136025999</v>
      </c>
      <c r="L318" s="1"/>
      <c r="M318" s="1"/>
      <c r="N318" s="1">
        <v>43164</v>
      </c>
      <c r="R318">
        <v>-2.4313878536657216E-3</v>
      </c>
      <c r="S318">
        <v>-2.4313878536657216E-3</v>
      </c>
      <c r="T318" t="s">
        <v>32</v>
      </c>
      <c r="U318" t="s">
        <v>32</v>
      </c>
      <c r="W318" t="s">
        <v>286</v>
      </c>
      <c r="Z318" t="s">
        <v>31</v>
      </c>
      <c r="AA318">
        <v>4.5097035001805934E-3</v>
      </c>
      <c r="AC318" t="s">
        <v>34</v>
      </c>
      <c r="AD318" t="s">
        <v>34</v>
      </c>
      <c r="AE318" t="s">
        <v>41</v>
      </c>
      <c r="AF318">
        <v>1.34</v>
      </c>
      <c r="AG318">
        <v>1.34</v>
      </c>
      <c r="AH318" t="s">
        <v>244</v>
      </c>
      <c r="AI318" t="s">
        <v>244</v>
      </c>
      <c r="AJ318">
        <v>-2.5388160792082001E-3</v>
      </c>
      <c r="AK318">
        <v>0</v>
      </c>
      <c r="AL318">
        <v>2.5388160792082001E-3</v>
      </c>
      <c r="AM318" t="s">
        <v>41</v>
      </c>
      <c r="AN318" t="s">
        <v>34</v>
      </c>
      <c r="AO318" t="s">
        <v>34</v>
      </c>
      <c r="AP318" t="s">
        <v>31</v>
      </c>
    </row>
    <row r="319" spans="1:43" x14ac:dyDescent="0.2">
      <c r="A319">
        <v>317</v>
      </c>
      <c r="B319">
        <v>96</v>
      </c>
      <c r="C319">
        <v>6</v>
      </c>
      <c r="F319" t="s">
        <v>29</v>
      </c>
      <c r="G319" t="s">
        <v>383</v>
      </c>
      <c r="I319">
        <v>2.3230426346720443E-6</v>
      </c>
      <c r="J319">
        <v>1.667808676423</v>
      </c>
      <c r="K319">
        <v>1.667808676423</v>
      </c>
      <c r="L319" s="1"/>
      <c r="M319" s="1"/>
      <c r="N319" s="1">
        <v>43164</v>
      </c>
      <c r="R319">
        <v>-2.4313878536657216E-3</v>
      </c>
      <c r="S319">
        <v>-2.4313878536657216E-3</v>
      </c>
      <c r="T319" t="s">
        <v>32</v>
      </c>
      <c r="U319" t="s">
        <v>32</v>
      </c>
      <c r="W319" t="s">
        <v>286</v>
      </c>
      <c r="Z319" t="s">
        <v>31</v>
      </c>
      <c r="AA319">
        <v>1.6971478828799857E-3</v>
      </c>
      <c r="AC319" t="s">
        <v>34</v>
      </c>
      <c r="AD319" t="s">
        <v>34</v>
      </c>
      <c r="AE319" t="s">
        <v>41</v>
      </c>
      <c r="AF319">
        <v>1.38</v>
      </c>
      <c r="AG319">
        <v>1.38</v>
      </c>
      <c r="AH319" t="s">
        <v>244</v>
      </c>
      <c r="AI319" t="s">
        <v>244</v>
      </c>
      <c r="AJ319">
        <v>-9.5543894042641997E-4</v>
      </c>
      <c r="AK319">
        <v>0</v>
      </c>
      <c r="AL319">
        <v>9.5543894042641997E-4</v>
      </c>
      <c r="AM319" t="s">
        <v>41</v>
      </c>
      <c r="AN319" t="s">
        <v>34</v>
      </c>
      <c r="AO319" t="s">
        <v>34</v>
      </c>
      <c r="AP319" t="s">
        <v>31</v>
      </c>
    </row>
    <row r="320" spans="1:43" x14ac:dyDescent="0.2">
      <c r="A320">
        <v>318</v>
      </c>
      <c r="B320">
        <v>101</v>
      </c>
      <c r="C320">
        <v>6</v>
      </c>
      <c r="F320" t="s">
        <v>29</v>
      </c>
      <c r="G320" t="s">
        <v>1035</v>
      </c>
      <c r="I320">
        <v>3.435664663052684E-6</v>
      </c>
      <c r="J320">
        <v>8.8124092609937001</v>
      </c>
      <c r="K320">
        <v>8.8124092609937001</v>
      </c>
      <c r="L320" s="1"/>
      <c r="M320" s="1"/>
      <c r="N320" s="1">
        <v>43164</v>
      </c>
      <c r="R320">
        <v>-5.6906384243591525E-3</v>
      </c>
      <c r="S320">
        <v>-5.6906384243591525E-3</v>
      </c>
      <c r="T320" t="s">
        <v>32</v>
      </c>
      <c r="U320" t="s">
        <v>32</v>
      </c>
      <c r="AA320">
        <v>2.5099974155268186E-3</v>
      </c>
      <c r="AC320" t="s">
        <v>42</v>
      </c>
      <c r="AD320" t="s">
        <v>42</v>
      </c>
      <c r="AF320">
        <v>2.89</v>
      </c>
      <c r="AG320">
        <v>2.89</v>
      </c>
      <c r="AH320" t="s">
        <v>244</v>
      </c>
      <c r="AI320" t="s">
        <v>244</v>
      </c>
      <c r="AJ320">
        <v>-6.0373975762474999E-4</v>
      </c>
      <c r="AK320">
        <v>0</v>
      </c>
      <c r="AL320">
        <v>6.0373975762474999E-4</v>
      </c>
      <c r="AN320" t="s">
        <v>42</v>
      </c>
      <c r="AO320" t="s">
        <v>42</v>
      </c>
    </row>
    <row r="321" spans="1:43" x14ac:dyDescent="0.2">
      <c r="A321">
        <v>319</v>
      </c>
      <c r="B321">
        <v>107</v>
      </c>
      <c r="C321">
        <v>6</v>
      </c>
      <c r="D321">
        <v>100000000</v>
      </c>
      <c r="E321" t="s">
        <v>335</v>
      </c>
      <c r="F321" t="s">
        <v>29</v>
      </c>
      <c r="G321" t="s">
        <v>424</v>
      </c>
      <c r="H321">
        <v>3.6691174173608147E-3</v>
      </c>
      <c r="I321">
        <v>1.4825488005605329E-7</v>
      </c>
      <c r="J321">
        <v>2.2000000000000002</v>
      </c>
      <c r="K321">
        <v>2.2035992525392998</v>
      </c>
      <c r="L321" s="1">
        <v>44013</v>
      </c>
      <c r="M321" s="1">
        <v>43165</v>
      </c>
      <c r="N321" s="1">
        <v>43164</v>
      </c>
      <c r="R321">
        <v>-2.0737663149124656E-4</v>
      </c>
      <c r="S321">
        <v>-2.0737663149124656E-4</v>
      </c>
      <c r="T321" t="s">
        <v>39</v>
      </c>
      <c r="U321" t="s">
        <v>39</v>
      </c>
      <c r="V321">
        <v>103979437</v>
      </c>
      <c r="W321" t="s">
        <v>286</v>
      </c>
      <c r="X321" t="s">
        <v>337</v>
      </c>
      <c r="Y321">
        <v>100000000</v>
      </c>
      <c r="Z321" t="s">
        <v>31</v>
      </c>
      <c r="AA321">
        <v>1.0831073526520885E-4</v>
      </c>
      <c r="AB321">
        <v>103.03</v>
      </c>
      <c r="AC321" t="s">
        <v>34</v>
      </c>
      <c r="AD321" t="s">
        <v>34</v>
      </c>
      <c r="AE321" t="s">
        <v>41</v>
      </c>
      <c r="AF321">
        <v>3.9E-2</v>
      </c>
      <c r="AG321">
        <v>3.91</v>
      </c>
      <c r="AH321" t="s">
        <v>244</v>
      </c>
      <c r="AI321" t="s">
        <v>244</v>
      </c>
      <c r="AJ321">
        <v>-7.1490639514178427E-4</v>
      </c>
      <c r="AK321">
        <v>1.6677806442549157E-3</v>
      </c>
      <c r="AL321">
        <v>2.3826870393967E-3</v>
      </c>
      <c r="AM321" t="s">
        <v>41</v>
      </c>
      <c r="AN321" t="s">
        <v>50</v>
      </c>
      <c r="AO321" t="s">
        <v>34</v>
      </c>
      <c r="AP321" t="s">
        <v>31</v>
      </c>
      <c r="AQ321">
        <v>6.5043445125941715E-5</v>
      </c>
    </row>
    <row r="322" spans="1:43" x14ac:dyDescent="0.2">
      <c r="A322">
        <v>320</v>
      </c>
      <c r="B322">
        <v>110</v>
      </c>
      <c r="C322">
        <v>6</v>
      </c>
      <c r="D322">
        <v>1000000000</v>
      </c>
      <c r="E322" t="s">
        <v>335</v>
      </c>
      <c r="F322" t="s">
        <v>29</v>
      </c>
      <c r="G322" t="s">
        <v>431</v>
      </c>
      <c r="H322">
        <v>5.9396262949877841E-2</v>
      </c>
      <c r="I322">
        <v>1.4886825276092962E-5</v>
      </c>
      <c r="J322">
        <v>3.57</v>
      </c>
      <c r="L322" s="1">
        <v>44593</v>
      </c>
      <c r="M322" s="1">
        <v>43165</v>
      </c>
      <c r="N322" s="1"/>
      <c r="R322">
        <v>8.9476952919579559E-4</v>
      </c>
      <c r="T322" t="s">
        <v>39</v>
      </c>
      <c r="V322">
        <v>1037288200</v>
      </c>
      <c r="W322" t="s">
        <v>286</v>
      </c>
      <c r="X322" t="s">
        <v>337</v>
      </c>
      <c r="Y322">
        <v>1000000000</v>
      </c>
      <c r="Z322" t="s">
        <v>31</v>
      </c>
      <c r="AA322">
        <v>1.087588476553821E-2</v>
      </c>
      <c r="AB322">
        <v>103.24</v>
      </c>
      <c r="AC322" t="s">
        <v>34</v>
      </c>
      <c r="AE322" t="s">
        <v>41</v>
      </c>
      <c r="AF322">
        <v>4.4299999999999999E-2</v>
      </c>
      <c r="AH322" t="s">
        <v>244</v>
      </c>
      <c r="AJ322">
        <v>1.6637608669433569E-2</v>
      </c>
      <c r="AK322">
        <v>1.6637608669433569E-2</v>
      </c>
      <c r="AL322">
        <v>0</v>
      </c>
      <c r="AN322" t="s">
        <v>50</v>
      </c>
      <c r="AQ322">
        <v>7.3704606405590705E-4</v>
      </c>
    </row>
    <row r="323" spans="1:43" x14ac:dyDescent="0.2">
      <c r="A323">
        <v>321</v>
      </c>
      <c r="B323">
        <v>87</v>
      </c>
      <c r="C323">
        <v>6</v>
      </c>
      <c r="D323">
        <v>5000</v>
      </c>
      <c r="E323" t="s">
        <v>287</v>
      </c>
      <c r="F323" t="s">
        <v>29</v>
      </c>
      <c r="G323" t="s">
        <v>303</v>
      </c>
      <c r="H323">
        <v>1.2006340828941826E-4</v>
      </c>
      <c r="I323">
        <v>-5.0346102119209774E-7</v>
      </c>
      <c r="J323">
        <v>0.27</v>
      </c>
      <c r="L323" s="1">
        <v>43358</v>
      </c>
      <c r="M323" s="1">
        <v>43165</v>
      </c>
      <c r="N323" s="1"/>
      <c r="R323">
        <v>-1.1321890462595416E-3</v>
      </c>
      <c r="T323" t="s">
        <v>32</v>
      </c>
      <c r="V323">
        <v>27723971</v>
      </c>
      <c r="W323" t="s">
        <v>288</v>
      </c>
      <c r="X323" t="s">
        <v>304</v>
      </c>
      <c r="Y323">
        <v>5000</v>
      </c>
      <c r="Z323" t="s">
        <v>31</v>
      </c>
      <c r="AA323">
        <v>-3.6781408721299301E-4</v>
      </c>
      <c r="AB323">
        <v>100.72</v>
      </c>
      <c r="AC323" t="s">
        <v>138</v>
      </c>
      <c r="AE323" t="s">
        <v>44</v>
      </c>
      <c r="AF323">
        <v>8.3314849139223282E-2</v>
      </c>
      <c r="AH323" t="s">
        <v>244</v>
      </c>
      <c r="AJ323">
        <v>4.4467928996080831E-4</v>
      </c>
      <c r="AK323">
        <v>4.4467928996080831E-4</v>
      </c>
      <c r="AL323">
        <v>0</v>
      </c>
      <c r="AN323" t="s">
        <v>142</v>
      </c>
      <c r="AQ323">
        <v>3.704838795842167E-5</v>
      </c>
    </row>
    <row r="324" spans="1:43" x14ac:dyDescent="0.2">
      <c r="A324">
        <v>322</v>
      </c>
      <c r="B324">
        <v>90</v>
      </c>
      <c r="C324">
        <v>6</v>
      </c>
      <c r="D324">
        <v>15000</v>
      </c>
      <c r="E324" t="s">
        <v>287</v>
      </c>
      <c r="F324" t="s">
        <v>29</v>
      </c>
      <c r="G324" t="s">
        <v>750</v>
      </c>
      <c r="H324">
        <v>4.498574511919598E-2</v>
      </c>
      <c r="I324">
        <v>1.0055884831302872E-6</v>
      </c>
      <c r="J324">
        <v>5.78</v>
      </c>
      <c r="L324" s="1">
        <v>47557</v>
      </c>
      <c r="M324" s="1">
        <v>43165</v>
      </c>
      <c r="N324" s="1"/>
      <c r="R324">
        <v>1.2920318241017373E-4</v>
      </c>
      <c r="T324" t="s">
        <v>32</v>
      </c>
      <c r="V324">
        <v>485238903</v>
      </c>
      <c r="W324" t="s">
        <v>288</v>
      </c>
      <c r="X324" t="s">
        <v>304</v>
      </c>
      <c r="Y324">
        <v>15000</v>
      </c>
      <c r="Z324" t="s">
        <v>31</v>
      </c>
      <c r="AA324">
        <v>7.3465391453480459E-4</v>
      </c>
      <c r="AB324">
        <v>117.13</v>
      </c>
      <c r="AC324" t="s">
        <v>138</v>
      </c>
      <c r="AE324" t="s">
        <v>44</v>
      </c>
      <c r="AF324">
        <v>8.8814849139223287E-2</v>
      </c>
      <c r="AH324" t="s">
        <v>244</v>
      </c>
      <c r="AJ324">
        <v>7.7830008856740445E-3</v>
      </c>
      <c r="AK324">
        <v>7.7830008856740445E-3</v>
      </c>
      <c r="AL324">
        <v>0</v>
      </c>
      <c r="AN324" t="s">
        <v>142</v>
      </c>
      <c r="AQ324">
        <v>6.9124604951158154E-4</v>
      </c>
    </row>
    <row r="325" spans="1:43" x14ac:dyDescent="0.2">
      <c r="A325">
        <v>323</v>
      </c>
      <c r="B325">
        <v>91</v>
      </c>
      <c r="C325">
        <v>6</v>
      </c>
      <c r="D325">
        <v>12500</v>
      </c>
      <c r="E325" t="s">
        <v>287</v>
      </c>
      <c r="F325" t="s">
        <v>29</v>
      </c>
      <c r="G325" t="s">
        <v>751</v>
      </c>
      <c r="H325">
        <v>4.978782744916721E-2</v>
      </c>
      <c r="I325">
        <v>-6.8574525093766319E-6</v>
      </c>
      <c r="J325">
        <v>8.1199999999999992</v>
      </c>
      <c r="K325">
        <v>8.1308784677763004</v>
      </c>
      <c r="L325" s="1">
        <v>48653</v>
      </c>
      <c r="M325" s="1">
        <v>43165</v>
      </c>
      <c r="N325" s="1">
        <v>43164</v>
      </c>
      <c r="R325">
        <v>-1.6084208318337245E-3</v>
      </c>
      <c r="S325">
        <v>-1.6084208318337245E-3</v>
      </c>
      <c r="T325" t="s">
        <v>32</v>
      </c>
      <c r="U325" t="s">
        <v>32</v>
      </c>
      <c r="V325">
        <v>382274808</v>
      </c>
      <c r="W325" t="s">
        <v>288</v>
      </c>
      <c r="X325" t="s">
        <v>304</v>
      </c>
      <c r="Y325">
        <v>12500</v>
      </c>
      <c r="Z325" t="s">
        <v>31</v>
      </c>
      <c r="AA325">
        <v>-5.0098568293739506E-3</v>
      </c>
      <c r="AB325">
        <v>111.38</v>
      </c>
      <c r="AC325" t="s">
        <v>138</v>
      </c>
      <c r="AD325" t="s">
        <v>138</v>
      </c>
      <c r="AE325" t="s">
        <v>44</v>
      </c>
      <c r="AF325">
        <v>9.1114849139223283E-2</v>
      </c>
      <c r="AG325">
        <v>2.6</v>
      </c>
      <c r="AH325" t="s">
        <v>244</v>
      </c>
      <c r="AI325" t="s">
        <v>244</v>
      </c>
      <c r="AJ325">
        <v>4.2634690956835E-3</v>
      </c>
      <c r="AK325">
        <v>6.1315058434934996E-3</v>
      </c>
      <c r="AL325">
        <v>1.8680367478099999E-3</v>
      </c>
      <c r="AM325" t="s">
        <v>44</v>
      </c>
      <c r="AN325" t="s">
        <v>142</v>
      </c>
      <c r="AO325" t="s">
        <v>138</v>
      </c>
      <c r="AP325" t="s">
        <v>31</v>
      </c>
      <c r="AQ325">
        <v>5.5867122992617625E-4</v>
      </c>
    </row>
    <row r="326" spans="1:43" x14ac:dyDescent="0.2">
      <c r="A326">
        <v>324</v>
      </c>
      <c r="B326">
        <v>102</v>
      </c>
      <c r="C326">
        <v>6</v>
      </c>
      <c r="F326" t="s">
        <v>29</v>
      </c>
      <c r="G326" t="s">
        <v>752</v>
      </c>
      <c r="I326">
        <v>2.5491300420010582E-6</v>
      </c>
      <c r="J326">
        <v>8.8090593563550996</v>
      </c>
      <c r="K326">
        <v>8.8090593563550996</v>
      </c>
      <c r="L326" s="1"/>
      <c r="M326" s="1"/>
      <c r="N326" s="1">
        <v>43164</v>
      </c>
      <c r="R326">
        <v>-1.8407209487297778E-3</v>
      </c>
      <c r="S326">
        <v>-1.8407209487297778E-3</v>
      </c>
      <c r="T326" t="s">
        <v>32</v>
      </c>
      <c r="U326" t="s">
        <v>32</v>
      </c>
      <c r="W326" t="s">
        <v>753</v>
      </c>
      <c r="Z326" t="s">
        <v>31</v>
      </c>
      <c r="AA326">
        <v>1.8623208155534449E-3</v>
      </c>
      <c r="AC326" t="s">
        <v>33</v>
      </c>
      <c r="AD326" t="s">
        <v>33</v>
      </c>
      <c r="AE326" t="s">
        <v>35</v>
      </c>
      <c r="AF326">
        <v>2.41</v>
      </c>
      <c r="AG326">
        <v>2.41</v>
      </c>
      <c r="AH326" t="s">
        <v>244</v>
      </c>
      <c r="AI326" t="s">
        <v>244</v>
      </c>
      <c r="AJ326">
        <v>-1.3848541484575E-3</v>
      </c>
      <c r="AK326">
        <v>0</v>
      </c>
      <c r="AL326">
        <v>1.3848541484575E-3</v>
      </c>
      <c r="AM326" t="s">
        <v>35</v>
      </c>
      <c r="AN326" t="s">
        <v>33</v>
      </c>
      <c r="AO326" t="s">
        <v>33</v>
      </c>
      <c r="AP326" t="s">
        <v>31</v>
      </c>
    </row>
    <row r="327" spans="1:43" x14ac:dyDescent="0.2">
      <c r="A327">
        <v>325</v>
      </c>
      <c r="B327">
        <v>107</v>
      </c>
      <c r="C327">
        <v>6</v>
      </c>
      <c r="D327">
        <v>10000000</v>
      </c>
      <c r="E327" t="s">
        <v>754</v>
      </c>
      <c r="F327" t="s">
        <v>29</v>
      </c>
      <c r="G327" t="s">
        <v>755</v>
      </c>
      <c r="H327">
        <v>3.0876789634786447E-4</v>
      </c>
      <c r="I327">
        <v>1.2426994481788297E-7</v>
      </c>
      <c r="J327">
        <v>1.88</v>
      </c>
      <c r="K327">
        <v>1.8857361705841</v>
      </c>
      <c r="L327" s="1">
        <v>44531</v>
      </c>
      <c r="M327" s="1">
        <v>43165</v>
      </c>
      <c r="N327" s="1">
        <v>43164</v>
      </c>
      <c r="R327">
        <v>-2.0737663149124656E-4</v>
      </c>
      <c r="S327">
        <v>-2.0737663149124656E-4</v>
      </c>
      <c r="T327" t="s">
        <v>39</v>
      </c>
      <c r="U327" t="s">
        <v>39</v>
      </c>
      <c r="V327">
        <v>10239596</v>
      </c>
      <c r="W327" t="s">
        <v>756</v>
      </c>
      <c r="X327" t="s">
        <v>757</v>
      </c>
      <c r="Y327">
        <v>10000000</v>
      </c>
      <c r="Z327" t="s">
        <v>31</v>
      </c>
      <c r="AA327">
        <v>9.0788034022912877E-5</v>
      </c>
      <c r="AB327">
        <v>101.17</v>
      </c>
      <c r="AC327" t="s">
        <v>33</v>
      </c>
      <c r="AD327" t="s">
        <v>33</v>
      </c>
      <c r="AE327" t="s">
        <v>166</v>
      </c>
      <c r="AF327">
        <v>4.0500000000000001E-2</v>
      </c>
      <c r="AG327">
        <v>4.0599999999999996</v>
      </c>
      <c r="AH327" t="s">
        <v>244</v>
      </c>
      <c r="AI327" t="s">
        <v>244</v>
      </c>
      <c r="AJ327">
        <v>-5.992475811968642E-4</v>
      </c>
      <c r="AK327">
        <v>1.642382427382258E-4</v>
      </c>
      <c r="AL327">
        <v>7.6348582393509002E-4</v>
      </c>
      <c r="AM327" t="s">
        <v>166</v>
      </c>
      <c r="AN327" t="s">
        <v>144</v>
      </c>
      <c r="AO327" t="s">
        <v>33</v>
      </c>
      <c r="AP327" t="s">
        <v>31</v>
      </c>
      <c r="AQ327">
        <v>6.6516488308981449E-6</v>
      </c>
    </row>
    <row r="328" spans="1:43" x14ac:dyDescent="0.2">
      <c r="A328">
        <v>326</v>
      </c>
      <c r="B328">
        <v>102</v>
      </c>
      <c r="C328">
        <v>6</v>
      </c>
      <c r="D328">
        <v>5000</v>
      </c>
      <c r="E328" t="s">
        <v>292</v>
      </c>
      <c r="F328" t="s">
        <v>29</v>
      </c>
      <c r="G328" t="s">
        <v>758</v>
      </c>
      <c r="H328">
        <v>1.6122824866713598E-2</v>
      </c>
      <c r="I328">
        <v>-1.9662089497344767E-6</v>
      </c>
      <c r="J328">
        <v>6.46</v>
      </c>
      <c r="K328">
        <v>6.4671153779057997</v>
      </c>
      <c r="L328" s="1">
        <v>47818</v>
      </c>
      <c r="M328" s="1">
        <v>43165</v>
      </c>
      <c r="N328" s="1">
        <v>43164</v>
      </c>
      <c r="R328">
        <v>-1.8407209487297778E-3</v>
      </c>
      <c r="S328">
        <v>-1.8407209487297778E-3</v>
      </c>
      <c r="T328" t="s">
        <v>32</v>
      </c>
      <c r="U328" t="s">
        <v>32</v>
      </c>
      <c r="V328">
        <v>155602708</v>
      </c>
      <c r="W328" t="s">
        <v>293</v>
      </c>
      <c r="X328" t="s">
        <v>759</v>
      </c>
      <c r="Y328">
        <v>5000</v>
      </c>
      <c r="Z328" t="s">
        <v>31</v>
      </c>
      <c r="AA328">
        <v>-1.4364554944178375E-3</v>
      </c>
      <c r="AB328">
        <v>114.14</v>
      </c>
      <c r="AC328" t="s">
        <v>34</v>
      </c>
      <c r="AD328" t="s">
        <v>34</v>
      </c>
      <c r="AE328" t="s">
        <v>170</v>
      </c>
      <c r="AF328">
        <v>8.8414849139223289E-2</v>
      </c>
      <c r="AG328">
        <v>2.3199999999999998</v>
      </c>
      <c r="AH328" t="s">
        <v>244</v>
      </c>
      <c r="AI328" t="s">
        <v>244</v>
      </c>
      <c r="AJ328">
        <v>1.0681732888905807E-3</v>
      </c>
      <c r="AK328">
        <v>2.4957933230206806E-3</v>
      </c>
      <c r="AL328">
        <v>1.4276200341300999E-3</v>
      </c>
      <c r="AM328" t="s">
        <v>170</v>
      </c>
      <c r="AN328" t="s">
        <v>50</v>
      </c>
      <c r="AO328" t="s">
        <v>34</v>
      </c>
      <c r="AP328" t="s">
        <v>31</v>
      </c>
      <c r="AQ328">
        <v>2.2066519013755426E-4</v>
      </c>
    </row>
    <row r="329" spans="1:43" x14ac:dyDescent="0.2">
      <c r="A329">
        <v>327</v>
      </c>
      <c r="B329">
        <v>107</v>
      </c>
      <c r="C329">
        <v>6</v>
      </c>
      <c r="D329">
        <v>90000000</v>
      </c>
      <c r="E329" t="s">
        <v>292</v>
      </c>
      <c r="F329" t="s">
        <v>29</v>
      </c>
      <c r="G329" t="s">
        <v>760</v>
      </c>
      <c r="H329">
        <v>2.3758969982892683E-3</v>
      </c>
      <c r="I329">
        <v>-7.2185057084754582E-8</v>
      </c>
      <c r="J329">
        <v>1.58</v>
      </c>
      <c r="K329">
        <v>1.5847254002224</v>
      </c>
      <c r="L329" s="1">
        <v>43770</v>
      </c>
      <c r="M329" s="1">
        <v>43165</v>
      </c>
      <c r="N329" s="1">
        <v>43164</v>
      </c>
      <c r="R329">
        <v>-2.0737663149124656E-4</v>
      </c>
      <c r="S329">
        <v>-2.0737663149124656E-4</v>
      </c>
      <c r="T329" t="s">
        <v>39</v>
      </c>
      <c r="U329" t="s">
        <v>39</v>
      </c>
      <c r="V329">
        <v>93751679</v>
      </c>
      <c r="W329" t="s">
        <v>293</v>
      </c>
      <c r="X329" t="s">
        <v>759</v>
      </c>
      <c r="Y329">
        <v>90000000</v>
      </c>
      <c r="Z329" t="s">
        <v>31</v>
      </c>
      <c r="AA329">
        <v>-5.2736318730653576E-5</v>
      </c>
      <c r="AB329">
        <v>102.31</v>
      </c>
      <c r="AC329" t="s">
        <v>34</v>
      </c>
      <c r="AD329" t="s">
        <v>34</v>
      </c>
      <c r="AE329" t="s">
        <v>170</v>
      </c>
      <c r="AF329">
        <v>3.8899999999999997E-2</v>
      </c>
      <c r="AG329">
        <v>3.91</v>
      </c>
      <c r="AH329" t="s">
        <v>244</v>
      </c>
      <c r="AI329" t="s">
        <v>244</v>
      </c>
      <c r="AJ329">
        <v>3.4808674712127115E-4</v>
      </c>
      <c r="AK329">
        <v>1.503732277398271E-3</v>
      </c>
      <c r="AL329">
        <v>1.1556455302769999E-3</v>
      </c>
      <c r="AM329" t="s">
        <v>170</v>
      </c>
      <c r="AN329" t="s">
        <v>50</v>
      </c>
      <c r="AO329" t="s">
        <v>34</v>
      </c>
      <c r="AP329" t="s">
        <v>31</v>
      </c>
      <c r="AQ329">
        <v>5.8495185590792742E-5</v>
      </c>
    </row>
    <row r="330" spans="1:43" x14ac:dyDescent="0.2">
      <c r="A330">
        <v>328</v>
      </c>
      <c r="B330">
        <v>90</v>
      </c>
      <c r="C330">
        <v>6</v>
      </c>
      <c r="D330">
        <v>16000</v>
      </c>
      <c r="E330" t="s">
        <v>294</v>
      </c>
      <c r="F330" t="s">
        <v>29</v>
      </c>
      <c r="G330" t="s">
        <v>761</v>
      </c>
      <c r="H330">
        <v>4.5080700787830531E-2</v>
      </c>
      <c r="I330">
        <v>1.0182814697672258E-6</v>
      </c>
      <c r="J330">
        <v>5.72</v>
      </c>
      <c r="L330" s="1">
        <v>47488</v>
      </c>
      <c r="M330" s="1">
        <v>43165</v>
      </c>
      <c r="N330" s="1"/>
      <c r="R330">
        <v>1.2920318241017373E-4</v>
      </c>
      <c r="T330" t="s">
        <v>32</v>
      </c>
      <c r="V330">
        <v>491363805</v>
      </c>
      <c r="W330" t="s">
        <v>295</v>
      </c>
      <c r="X330" t="s">
        <v>459</v>
      </c>
      <c r="Y330">
        <v>16000</v>
      </c>
      <c r="Z330" t="s">
        <v>31</v>
      </c>
      <c r="AA330">
        <v>7.4392704412648135E-4</v>
      </c>
      <c r="AB330">
        <v>113.05</v>
      </c>
      <c r="AC330" t="s">
        <v>138</v>
      </c>
      <c r="AE330" t="s">
        <v>168</v>
      </c>
      <c r="AF330">
        <v>9.1314849139223289E-2</v>
      </c>
      <c r="AH330" t="s">
        <v>244</v>
      </c>
      <c r="AJ330">
        <v>7.88124139647387E-3</v>
      </c>
      <c r="AK330">
        <v>7.88124139647387E-3</v>
      </c>
      <c r="AL330">
        <v>0</v>
      </c>
      <c r="AN330" t="s">
        <v>142</v>
      </c>
      <c r="AQ330">
        <v>7.1967436914881287E-4</v>
      </c>
    </row>
    <row r="331" spans="1:43" x14ac:dyDescent="0.2">
      <c r="A331">
        <v>329</v>
      </c>
      <c r="B331">
        <v>95</v>
      </c>
      <c r="C331">
        <v>6</v>
      </c>
      <c r="F331" t="s">
        <v>29</v>
      </c>
      <c r="G331" t="s">
        <v>762</v>
      </c>
      <c r="I331">
        <v>1.1872232826596298E-5</v>
      </c>
      <c r="J331">
        <v>2.3567229151764</v>
      </c>
      <c r="K331">
        <v>2.3567229151764</v>
      </c>
      <c r="L331" s="1"/>
      <c r="M331" s="1"/>
      <c r="N331" s="1">
        <v>43164</v>
      </c>
      <c r="R331">
        <v>-2.8093124561633931E-3</v>
      </c>
      <c r="S331">
        <v>-2.8093124561633931E-3</v>
      </c>
      <c r="T331" t="s">
        <v>32</v>
      </c>
      <c r="U331" t="s">
        <v>32</v>
      </c>
      <c r="AA331">
        <v>8.6735105529222034E-3</v>
      </c>
      <c r="AC331" t="s">
        <v>42</v>
      </c>
      <c r="AD331" t="s">
        <v>42</v>
      </c>
      <c r="AF331">
        <v>1.23</v>
      </c>
      <c r="AG331">
        <v>1.23</v>
      </c>
      <c r="AH331" t="s">
        <v>244</v>
      </c>
      <c r="AI331" t="s">
        <v>244</v>
      </c>
      <c r="AJ331">
        <v>-4.2260279025032E-3</v>
      </c>
      <c r="AK331">
        <v>0</v>
      </c>
      <c r="AL331">
        <v>4.2260279025032E-3</v>
      </c>
      <c r="AN331" t="s">
        <v>42</v>
      </c>
      <c r="AO331" t="s">
        <v>42</v>
      </c>
    </row>
    <row r="332" spans="1:43" x14ac:dyDescent="0.2">
      <c r="A332">
        <v>330</v>
      </c>
      <c r="B332">
        <v>98</v>
      </c>
      <c r="C332">
        <v>6</v>
      </c>
      <c r="F332" t="s">
        <v>29</v>
      </c>
      <c r="G332" t="s">
        <v>763</v>
      </c>
      <c r="I332">
        <v>1.9054922079357927E-5</v>
      </c>
      <c r="J332">
        <v>3.7554525546272002</v>
      </c>
      <c r="K332">
        <v>3.7554525546272002</v>
      </c>
      <c r="L332" s="1"/>
      <c r="M332" s="1"/>
      <c r="N332" s="1">
        <v>43164</v>
      </c>
      <c r="R332">
        <v>-4.4913223753632802E-3</v>
      </c>
      <c r="S332">
        <v>-4.4913223753632802E-3</v>
      </c>
      <c r="T332" t="s">
        <v>32</v>
      </c>
      <c r="U332" t="s">
        <v>32</v>
      </c>
      <c r="W332" t="s">
        <v>191</v>
      </c>
      <c r="Z332" t="s">
        <v>31</v>
      </c>
      <c r="AA332">
        <v>1.3920975957460576E-2</v>
      </c>
      <c r="AC332" t="s">
        <v>42</v>
      </c>
      <c r="AD332" t="s">
        <v>42</v>
      </c>
      <c r="AE332" t="s">
        <v>41</v>
      </c>
      <c r="AF332">
        <v>1.65</v>
      </c>
      <c r="AG332">
        <v>1.65</v>
      </c>
      <c r="AH332" t="s">
        <v>244</v>
      </c>
      <c r="AI332" t="s">
        <v>244</v>
      </c>
      <c r="AJ332">
        <v>-4.2426084094702001E-3</v>
      </c>
      <c r="AK332">
        <v>0</v>
      </c>
      <c r="AL332">
        <v>4.2426084094702001E-3</v>
      </c>
      <c r="AM332" t="s">
        <v>41</v>
      </c>
      <c r="AN332" t="s">
        <v>42</v>
      </c>
      <c r="AO332" t="s">
        <v>42</v>
      </c>
      <c r="AP332" t="s">
        <v>31</v>
      </c>
    </row>
    <row r="333" spans="1:43" x14ac:dyDescent="0.2">
      <c r="A333">
        <v>331</v>
      </c>
      <c r="B333">
        <v>101</v>
      </c>
      <c r="C333">
        <v>6</v>
      </c>
      <c r="F333" t="s">
        <v>29</v>
      </c>
      <c r="G333" t="s">
        <v>764</v>
      </c>
      <c r="I333">
        <v>2.4496767029928532E-5</v>
      </c>
      <c r="J333">
        <v>5.5191635202910998</v>
      </c>
      <c r="K333">
        <v>5.5191635202910998</v>
      </c>
      <c r="L333" s="1"/>
      <c r="M333" s="1"/>
      <c r="N333" s="1">
        <v>43164</v>
      </c>
      <c r="R333">
        <v>-5.6906384243591525E-3</v>
      </c>
      <c r="S333">
        <v>-5.6906384243591525E-3</v>
      </c>
      <c r="T333" t="s">
        <v>32</v>
      </c>
      <c r="U333" t="s">
        <v>32</v>
      </c>
      <c r="AA333">
        <v>1.7896630772821245E-2</v>
      </c>
      <c r="AC333" t="s">
        <v>42</v>
      </c>
      <c r="AD333" t="s">
        <v>42</v>
      </c>
      <c r="AF333">
        <v>1.85</v>
      </c>
      <c r="AG333">
        <v>1.85</v>
      </c>
      <c r="AH333" t="s">
        <v>244</v>
      </c>
      <c r="AI333" t="s">
        <v>244</v>
      </c>
      <c r="AJ333">
        <v>-4.3047484663704004E-3</v>
      </c>
      <c r="AK333">
        <v>0</v>
      </c>
      <c r="AL333">
        <v>4.3047484663704004E-3</v>
      </c>
      <c r="AN333" t="s">
        <v>42</v>
      </c>
      <c r="AO333" t="s">
        <v>42</v>
      </c>
    </row>
    <row r="334" spans="1:43" x14ac:dyDescent="0.2">
      <c r="A334">
        <v>332</v>
      </c>
      <c r="B334">
        <v>101</v>
      </c>
      <c r="C334">
        <v>6</v>
      </c>
      <c r="F334" t="s">
        <v>29</v>
      </c>
      <c r="G334" t="s">
        <v>1067</v>
      </c>
      <c r="I334">
        <v>2.4516500064519338E-5</v>
      </c>
      <c r="J334">
        <v>6.3666849316308003</v>
      </c>
      <c r="K334">
        <v>6.3666849316308003</v>
      </c>
      <c r="L334" s="1"/>
      <c r="M334" s="1"/>
      <c r="N334" s="1">
        <v>43164</v>
      </c>
      <c r="R334">
        <v>-5.6906384243591525E-3</v>
      </c>
      <c r="S334">
        <v>-5.6906384243591525E-3</v>
      </c>
      <c r="T334" t="s">
        <v>32</v>
      </c>
      <c r="U334" t="s">
        <v>32</v>
      </c>
      <c r="AA334">
        <v>1.7911047158202527E-2</v>
      </c>
      <c r="AC334" t="s">
        <v>42</v>
      </c>
      <c r="AD334" t="s">
        <v>42</v>
      </c>
      <c r="AF334">
        <v>1.99</v>
      </c>
      <c r="AG334">
        <v>1.99</v>
      </c>
      <c r="AH334" t="s">
        <v>244</v>
      </c>
      <c r="AI334" t="s">
        <v>244</v>
      </c>
      <c r="AJ334">
        <v>-4.3082160974373005E-3</v>
      </c>
      <c r="AK334">
        <v>0</v>
      </c>
      <c r="AL334">
        <v>4.3082160974373005E-3</v>
      </c>
      <c r="AN334" t="s">
        <v>42</v>
      </c>
      <c r="AO334" t="s">
        <v>42</v>
      </c>
    </row>
    <row r="335" spans="1:43" x14ac:dyDescent="0.2">
      <c r="A335">
        <v>333</v>
      </c>
      <c r="B335">
        <v>101</v>
      </c>
      <c r="C335">
        <v>6</v>
      </c>
      <c r="F335" t="s">
        <v>29</v>
      </c>
      <c r="G335" t="s">
        <v>765</v>
      </c>
      <c r="I335">
        <v>2.4621739532435504E-5</v>
      </c>
      <c r="J335">
        <v>7.1743890091216</v>
      </c>
      <c r="K335">
        <v>7.1743890091216</v>
      </c>
      <c r="L335" s="1"/>
      <c r="M335" s="1"/>
      <c r="N335" s="1">
        <v>43164</v>
      </c>
      <c r="R335">
        <v>-5.6906384243591525E-3</v>
      </c>
      <c r="S335">
        <v>-5.6906384243591525E-3</v>
      </c>
      <c r="T335" t="s">
        <v>32</v>
      </c>
      <c r="U335" t="s">
        <v>32</v>
      </c>
      <c r="AA335">
        <v>1.7987932075209032E-2</v>
      </c>
      <c r="AC335" t="s">
        <v>42</v>
      </c>
      <c r="AD335" t="s">
        <v>42</v>
      </c>
      <c r="AF335">
        <v>2.1</v>
      </c>
      <c r="AG335">
        <v>2.1</v>
      </c>
      <c r="AH335" t="s">
        <v>244</v>
      </c>
      <c r="AI335" t="s">
        <v>244</v>
      </c>
      <c r="AJ335">
        <v>-4.3267095352676997E-3</v>
      </c>
      <c r="AK335">
        <v>0</v>
      </c>
      <c r="AL335">
        <v>4.3267095352676997E-3</v>
      </c>
      <c r="AN335" t="s">
        <v>42</v>
      </c>
      <c r="AO335" t="s">
        <v>42</v>
      </c>
    </row>
    <row r="336" spans="1:43" x14ac:dyDescent="0.2">
      <c r="A336">
        <v>334</v>
      </c>
      <c r="B336">
        <v>109</v>
      </c>
      <c r="C336">
        <v>6</v>
      </c>
      <c r="F336" t="s">
        <v>29</v>
      </c>
      <c r="G336" t="s">
        <v>766</v>
      </c>
      <c r="I336">
        <v>-4.4601537759487792E-6</v>
      </c>
      <c r="J336">
        <v>3.1601468093539999</v>
      </c>
      <c r="K336">
        <v>3.1601468093539999</v>
      </c>
      <c r="L336" s="1"/>
      <c r="M336" s="1"/>
      <c r="N336" s="1">
        <v>43164</v>
      </c>
      <c r="R336">
        <v>1.4126282573991276E-3</v>
      </c>
      <c r="S336">
        <v>1.4126282573991276E-3</v>
      </c>
      <c r="T336" t="s">
        <v>39</v>
      </c>
      <c r="U336" t="s">
        <v>39</v>
      </c>
      <c r="AA336">
        <v>-3.258459584509208E-3</v>
      </c>
      <c r="AC336" t="s">
        <v>42</v>
      </c>
      <c r="AD336" t="s">
        <v>42</v>
      </c>
      <c r="AF336">
        <v>4.3499999999999996</v>
      </c>
      <c r="AG336">
        <v>4.3499999999999996</v>
      </c>
      <c r="AH336" t="s">
        <v>244</v>
      </c>
      <c r="AI336" t="s">
        <v>244</v>
      </c>
      <c r="AJ336">
        <v>-3.1573442995970003E-3</v>
      </c>
      <c r="AK336">
        <v>0</v>
      </c>
      <c r="AL336">
        <v>3.1573442995970003E-3</v>
      </c>
      <c r="AN336" t="s">
        <v>42</v>
      </c>
      <c r="AO336" t="s">
        <v>42</v>
      </c>
    </row>
    <row r="337" spans="1:43" x14ac:dyDescent="0.2">
      <c r="A337">
        <v>335</v>
      </c>
      <c r="B337">
        <v>92</v>
      </c>
      <c r="C337">
        <v>6</v>
      </c>
      <c r="D337">
        <v>4000</v>
      </c>
      <c r="E337" t="s">
        <v>316</v>
      </c>
      <c r="F337" t="s">
        <v>29</v>
      </c>
      <c r="G337" t="s">
        <v>317</v>
      </c>
      <c r="H337">
        <v>5.6123612522811922E-4</v>
      </c>
      <c r="I337">
        <v>3.6440598312653374E-6</v>
      </c>
      <c r="J337">
        <v>0.32</v>
      </c>
      <c r="K337">
        <v>0.32328767123287999</v>
      </c>
      <c r="L337" s="1">
        <v>43282</v>
      </c>
      <c r="M337" s="1">
        <v>43165</v>
      </c>
      <c r="N337" s="1">
        <v>43164</v>
      </c>
      <c r="R337">
        <v>-2.293432873749072E-3</v>
      </c>
      <c r="S337">
        <v>-2.293432873749072E-3</v>
      </c>
      <c r="T337" t="s">
        <v>32</v>
      </c>
      <c r="U337" t="s">
        <v>32</v>
      </c>
      <c r="V337">
        <v>109346320</v>
      </c>
      <c r="W337" t="s">
        <v>191</v>
      </c>
      <c r="X337" t="s">
        <v>250</v>
      </c>
      <c r="Y337">
        <v>4000</v>
      </c>
      <c r="Z337" t="s">
        <v>31</v>
      </c>
      <c r="AA337">
        <v>2.6622449090750603E-3</v>
      </c>
      <c r="AB337">
        <v>100.8</v>
      </c>
      <c r="AC337" t="s">
        <v>42</v>
      </c>
      <c r="AD337" t="s">
        <v>42</v>
      </c>
      <c r="AE337" t="s">
        <v>41</v>
      </c>
      <c r="AF337">
        <v>7.5114849139223283E-2</v>
      </c>
      <c r="AG337">
        <v>0.95</v>
      </c>
      <c r="AH337" t="s">
        <v>244</v>
      </c>
      <c r="AI337" t="s">
        <v>244</v>
      </c>
      <c r="AJ337">
        <v>-1.5889106121115275E-3</v>
      </c>
      <c r="AK337">
        <v>1.7538628913378726E-3</v>
      </c>
      <c r="AL337">
        <v>3.3427735034494001E-3</v>
      </c>
      <c r="AM337" t="s">
        <v>41</v>
      </c>
      <c r="AN337" t="s">
        <v>138</v>
      </c>
      <c r="AO337" t="s">
        <v>42</v>
      </c>
      <c r="AP337" t="s">
        <v>31</v>
      </c>
      <c r="AQ337">
        <v>1.3174114649372625E-4</v>
      </c>
    </row>
    <row r="338" spans="1:43" x14ac:dyDescent="0.2">
      <c r="A338">
        <v>336</v>
      </c>
      <c r="B338">
        <v>95</v>
      </c>
      <c r="C338">
        <v>6</v>
      </c>
      <c r="F338" t="s">
        <v>29</v>
      </c>
      <c r="G338" t="s">
        <v>767</v>
      </c>
      <c r="I338">
        <v>9.6021477045554251E-6</v>
      </c>
      <c r="J338">
        <v>1.2982045262319999</v>
      </c>
      <c r="K338">
        <v>1.2982045262319999</v>
      </c>
      <c r="L338" s="1"/>
      <c r="M338" s="1"/>
      <c r="N338" s="1">
        <v>43164</v>
      </c>
      <c r="R338">
        <v>-2.8093124561633931E-3</v>
      </c>
      <c r="S338">
        <v>-2.8093124561633931E-3</v>
      </c>
      <c r="T338" t="s">
        <v>32</v>
      </c>
      <c r="U338" t="s">
        <v>32</v>
      </c>
      <c r="W338" t="s">
        <v>191</v>
      </c>
      <c r="Z338" t="s">
        <v>31</v>
      </c>
      <c r="AA338">
        <v>7.0150518998923928E-3</v>
      </c>
      <c r="AC338" t="s">
        <v>42</v>
      </c>
      <c r="AD338" t="s">
        <v>42</v>
      </c>
      <c r="AE338" t="s">
        <v>41</v>
      </c>
      <c r="AF338">
        <v>1.05</v>
      </c>
      <c r="AG338">
        <v>1.05</v>
      </c>
      <c r="AH338" t="s">
        <v>244</v>
      </c>
      <c r="AI338" t="s">
        <v>244</v>
      </c>
      <c r="AJ338">
        <v>-3.4179707150371001E-3</v>
      </c>
      <c r="AK338">
        <v>0</v>
      </c>
      <c r="AL338">
        <v>3.4179707150371001E-3</v>
      </c>
      <c r="AM338" t="s">
        <v>41</v>
      </c>
      <c r="AN338" t="s">
        <v>42</v>
      </c>
      <c r="AO338" t="s">
        <v>42</v>
      </c>
      <c r="AP338" t="s">
        <v>31</v>
      </c>
    </row>
    <row r="339" spans="1:43" x14ac:dyDescent="0.2">
      <c r="A339">
        <v>337</v>
      </c>
      <c r="B339">
        <v>98</v>
      </c>
      <c r="C339">
        <v>6</v>
      </c>
      <c r="D339">
        <v>20000</v>
      </c>
      <c r="E339" t="s">
        <v>316</v>
      </c>
      <c r="F339" t="s">
        <v>29</v>
      </c>
      <c r="G339" t="s">
        <v>768</v>
      </c>
      <c r="H339">
        <v>3.5606030054335533E-2</v>
      </c>
      <c r="I339">
        <v>-2.610547451312716E-5</v>
      </c>
      <c r="J339">
        <v>3.79</v>
      </c>
      <c r="K339">
        <v>3.7927486072756</v>
      </c>
      <c r="L339" s="1">
        <v>44652</v>
      </c>
      <c r="M339" s="1">
        <v>43165</v>
      </c>
      <c r="N339" s="1">
        <v>43164</v>
      </c>
      <c r="R339">
        <v>-4.4913223753632802E-3</v>
      </c>
      <c r="S339">
        <v>-4.4913223753632802E-3</v>
      </c>
      <c r="T339" t="s">
        <v>32</v>
      </c>
      <c r="U339" t="s">
        <v>32</v>
      </c>
      <c r="V339">
        <v>585723807</v>
      </c>
      <c r="W339" t="s">
        <v>191</v>
      </c>
      <c r="X339" t="s">
        <v>250</v>
      </c>
      <c r="Y339">
        <v>20000</v>
      </c>
      <c r="Z339" t="s">
        <v>31</v>
      </c>
      <c r="AA339">
        <v>-1.9071906016820017E-2</v>
      </c>
      <c r="AB339">
        <v>107.05</v>
      </c>
      <c r="AC339" t="s">
        <v>42</v>
      </c>
      <c r="AD339" t="s">
        <v>42</v>
      </c>
      <c r="AE339" t="s">
        <v>41</v>
      </c>
      <c r="AF339">
        <v>8.1814849139223281E-2</v>
      </c>
      <c r="AG339">
        <v>1.66</v>
      </c>
      <c r="AH339" t="s">
        <v>244</v>
      </c>
      <c r="AI339" t="s">
        <v>244</v>
      </c>
      <c r="AJ339">
        <v>5.812425012358553E-3</v>
      </c>
      <c r="AK339">
        <v>9.394730885048953E-3</v>
      </c>
      <c r="AL339">
        <v>3.5823058726904E-3</v>
      </c>
      <c r="AM339" t="s">
        <v>41</v>
      </c>
      <c r="AN339" t="s">
        <v>138</v>
      </c>
      <c r="AO339" t="s">
        <v>42</v>
      </c>
      <c r="AP339" t="s">
        <v>31</v>
      </c>
      <c r="AQ339">
        <v>7.6862849006388166E-4</v>
      </c>
    </row>
    <row r="340" spans="1:43" x14ac:dyDescent="0.2">
      <c r="A340">
        <v>338</v>
      </c>
      <c r="B340">
        <v>98</v>
      </c>
      <c r="C340">
        <v>6</v>
      </c>
      <c r="F340" t="s">
        <v>29</v>
      </c>
      <c r="G340" t="s">
        <v>769</v>
      </c>
      <c r="I340">
        <v>8.0957159672868302E-6</v>
      </c>
      <c r="J340">
        <v>4.4696499103436</v>
      </c>
      <c r="K340">
        <v>4.4696499103436</v>
      </c>
      <c r="L340" s="1"/>
      <c r="M340" s="1"/>
      <c r="N340" s="1">
        <v>43164</v>
      </c>
      <c r="R340">
        <v>-4.4913223753632802E-3</v>
      </c>
      <c r="S340">
        <v>-4.4913223753632802E-3</v>
      </c>
      <c r="T340" t="s">
        <v>32</v>
      </c>
      <c r="U340" t="s">
        <v>32</v>
      </c>
      <c r="W340" t="s">
        <v>191</v>
      </c>
      <c r="Z340" t="s">
        <v>31</v>
      </c>
      <c r="AA340">
        <v>5.914496363179418E-3</v>
      </c>
      <c r="AC340" t="s">
        <v>42</v>
      </c>
      <c r="AD340" t="s">
        <v>42</v>
      </c>
      <c r="AE340" t="s">
        <v>41</v>
      </c>
      <c r="AF340">
        <v>1.7</v>
      </c>
      <c r="AG340">
        <v>1.7</v>
      </c>
      <c r="AH340" t="s">
        <v>244</v>
      </c>
      <c r="AI340" t="s">
        <v>244</v>
      </c>
      <c r="AJ340">
        <v>-1.802523909594E-3</v>
      </c>
      <c r="AK340">
        <v>0</v>
      </c>
      <c r="AL340">
        <v>1.802523909594E-3</v>
      </c>
      <c r="AM340" t="s">
        <v>41</v>
      </c>
      <c r="AN340" t="s">
        <v>42</v>
      </c>
      <c r="AO340" t="s">
        <v>42</v>
      </c>
      <c r="AP340" t="s">
        <v>31</v>
      </c>
    </row>
    <row r="341" spans="1:43" x14ac:dyDescent="0.2">
      <c r="A341">
        <v>339</v>
      </c>
      <c r="B341">
        <v>145</v>
      </c>
      <c r="C341">
        <v>6</v>
      </c>
      <c r="F341" t="s">
        <v>29</v>
      </c>
      <c r="G341" t="s">
        <v>770</v>
      </c>
      <c r="I341">
        <v>1.335692951268488E-7</v>
      </c>
      <c r="J341">
        <v>0.49315068493150999</v>
      </c>
      <c r="K341">
        <v>0.49315068493150999</v>
      </c>
      <c r="L341" s="1"/>
      <c r="M341" s="1"/>
      <c r="N341" s="1">
        <v>43164</v>
      </c>
      <c r="R341">
        <v>-1.7219065136765173E-4</v>
      </c>
      <c r="S341">
        <v>-1.7219065136765173E-4</v>
      </c>
      <c r="T341" t="s">
        <v>39</v>
      </c>
      <c r="U341" t="s">
        <v>39</v>
      </c>
      <c r="W341" t="s">
        <v>191</v>
      </c>
      <c r="Z341" t="s">
        <v>31</v>
      </c>
      <c r="AA341">
        <v>9.7581870887318423E-5</v>
      </c>
      <c r="AC341" t="s">
        <v>42</v>
      </c>
      <c r="AD341" t="s">
        <v>42</v>
      </c>
      <c r="AE341" t="s">
        <v>41</v>
      </c>
      <c r="AF341">
        <v>3.19</v>
      </c>
      <c r="AG341">
        <v>3.19</v>
      </c>
      <c r="AH341" t="s">
        <v>244</v>
      </c>
      <c r="AI341" t="s">
        <v>244</v>
      </c>
      <c r="AJ341">
        <v>-7.7570584736136002E-4</v>
      </c>
      <c r="AK341">
        <v>0</v>
      </c>
      <c r="AL341">
        <v>7.7570584736136002E-4</v>
      </c>
      <c r="AM341" t="s">
        <v>41</v>
      </c>
      <c r="AN341" t="s">
        <v>42</v>
      </c>
      <c r="AO341" t="s">
        <v>42</v>
      </c>
      <c r="AP341" t="s">
        <v>31</v>
      </c>
    </row>
    <row r="342" spans="1:43" x14ac:dyDescent="0.2">
      <c r="A342">
        <v>340</v>
      </c>
      <c r="B342">
        <v>92</v>
      </c>
      <c r="C342">
        <v>6</v>
      </c>
      <c r="F342" t="s">
        <v>29</v>
      </c>
      <c r="G342" t="s">
        <v>771</v>
      </c>
      <c r="I342">
        <v>3.8824849100126473E-6</v>
      </c>
      <c r="J342">
        <v>0.56717516074329</v>
      </c>
      <c r="K342">
        <v>0.56717516074329</v>
      </c>
      <c r="L342" s="1"/>
      <c r="M342" s="1"/>
      <c r="N342" s="1">
        <v>43164</v>
      </c>
      <c r="R342">
        <v>-2.293432873749072E-3</v>
      </c>
      <c r="S342">
        <v>-2.293432873749072E-3</v>
      </c>
      <c r="T342" t="s">
        <v>32</v>
      </c>
      <c r="U342" t="s">
        <v>32</v>
      </c>
      <c r="AA342">
        <v>2.8364313882993713E-3</v>
      </c>
      <c r="AC342" t="s">
        <v>42</v>
      </c>
      <c r="AD342" t="s">
        <v>42</v>
      </c>
      <c r="AF342">
        <v>1.04</v>
      </c>
      <c r="AG342">
        <v>1.04</v>
      </c>
      <c r="AH342" t="s">
        <v>244</v>
      </c>
      <c r="AI342" t="s">
        <v>244</v>
      </c>
      <c r="AJ342">
        <v>-1.6928705236817999E-3</v>
      </c>
      <c r="AK342">
        <v>0</v>
      </c>
      <c r="AL342">
        <v>1.6928705236817999E-3</v>
      </c>
      <c r="AN342" t="s">
        <v>42</v>
      </c>
      <c r="AO342" t="s">
        <v>42</v>
      </c>
    </row>
    <row r="343" spans="1:43" x14ac:dyDescent="0.2">
      <c r="A343">
        <v>341</v>
      </c>
      <c r="B343">
        <v>101</v>
      </c>
      <c r="C343">
        <v>6</v>
      </c>
      <c r="F343" t="s">
        <v>29</v>
      </c>
      <c r="G343" t="s">
        <v>772</v>
      </c>
      <c r="I343">
        <v>1.0216330520883332E-5</v>
      </c>
      <c r="J343">
        <v>5.0689273001622004</v>
      </c>
      <c r="K343">
        <v>5.0689273001622004</v>
      </c>
      <c r="L343" s="1"/>
      <c r="M343" s="1"/>
      <c r="N343" s="1">
        <v>43164</v>
      </c>
      <c r="R343">
        <v>-5.6906384243591525E-3</v>
      </c>
      <c r="S343">
        <v>-5.6906384243591525E-3</v>
      </c>
      <c r="T343" t="s">
        <v>32</v>
      </c>
      <c r="U343" t="s">
        <v>32</v>
      </c>
      <c r="W343" t="s">
        <v>191</v>
      </c>
      <c r="Z343" t="s">
        <v>31</v>
      </c>
      <c r="AA343">
        <v>7.463756134104319E-3</v>
      </c>
      <c r="AC343" t="s">
        <v>42</v>
      </c>
      <c r="AD343" t="s">
        <v>42</v>
      </c>
      <c r="AE343" t="s">
        <v>41</v>
      </c>
      <c r="AF343">
        <v>1.8</v>
      </c>
      <c r="AG343">
        <v>1.8</v>
      </c>
      <c r="AH343" t="s">
        <v>244</v>
      </c>
      <c r="AI343" t="s">
        <v>244</v>
      </c>
      <c r="AJ343">
        <v>-1.7952872347594001E-3</v>
      </c>
      <c r="AK343">
        <v>0</v>
      </c>
      <c r="AL343">
        <v>1.7952872347594001E-3</v>
      </c>
      <c r="AM343" t="s">
        <v>41</v>
      </c>
      <c r="AN343" t="s">
        <v>42</v>
      </c>
      <c r="AO343" t="s">
        <v>42</v>
      </c>
      <c r="AP343" t="s">
        <v>31</v>
      </c>
    </row>
    <row r="344" spans="1:43" x14ac:dyDescent="0.2">
      <c r="A344">
        <v>342</v>
      </c>
      <c r="B344">
        <v>95</v>
      </c>
      <c r="C344">
        <v>6</v>
      </c>
      <c r="F344" t="s">
        <v>29</v>
      </c>
      <c r="G344" t="s">
        <v>773</v>
      </c>
      <c r="I344">
        <v>4.9215744274299803E-6</v>
      </c>
      <c r="J344">
        <v>2.7078580347375998</v>
      </c>
      <c r="K344">
        <v>2.7078580347375998</v>
      </c>
      <c r="L344" s="1"/>
      <c r="M344" s="1"/>
      <c r="N344" s="1">
        <v>43164</v>
      </c>
      <c r="R344">
        <v>-2.8093124561633931E-3</v>
      </c>
      <c r="S344">
        <v>-2.8093124561633931E-3</v>
      </c>
      <c r="T344" t="s">
        <v>32</v>
      </c>
      <c r="U344" t="s">
        <v>32</v>
      </c>
      <c r="W344" t="s">
        <v>191</v>
      </c>
      <c r="Z344" t="s">
        <v>31</v>
      </c>
      <c r="AA344">
        <v>3.5955601913127406E-3</v>
      </c>
      <c r="AC344" t="s">
        <v>42</v>
      </c>
      <c r="AD344" t="s">
        <v>42</v>
      </c>
      <c r="AE344" t="s">
        <v>41</v>
      </c>
      <c r="AF344">
        <v>1.52</v>
      </c>
      <c r="AG344">
        <v>1.52</v>
      </c>
      <c r="AH344" t="s">
        <v>244</v>
      </c>
      <c r="AI344" t="s">
        <v>244</v>
      </c>
      <c r="AJ344">
        <v>-1.7518786194936999E-3</v>
      </c>
      <c r="AK344">
        <v>0</v>
      </c>
      <c r="AL344">
        <v>1.7518786194936999E-3</v>
      </c>
      <c r="AM344" t="s">
        <v>41</v>
      </c>
      <c r="AN344" t="s">
        <v>42</v>
      </c>
      <c r="AO344" t="s">
        <v>42</v>
      </c>
      <c r="AP344" t="s">
        <v>31</v>
      </c>
    </row>
    <row r="345" spans="1:43" x14ac:dyDescent="0.2">
      <c r="A345">
        <v>343</v>
      </c>
      <c r="B345">
        <v>101</v>
      </c>
      <c r="C345">
        <v>6</v>
      </c>
      <c r="F345" t="s">
        <v>29</v>
      </c>
      <c r="G345" t="s">
        <v>774</v>
      </c>
      <c r="I345">
        <v>1.2286943583338492E-5</v>
      </c>
      <c r="J345">
        <v>5.3341079886514997</v>
      </c>
      <c r="K345">
        <v>5.3341079886514997</v>
      </c>
      <c r="L345" s="1"/>
      <c r="M345" s="1"/>
      <c r="N345" s="1">
        <v>43164</v>
      </c>
      <c r="R345">
        <v>-5.6906384243591525E-3</v>
      </c>
      <c r="S345">
        <v>-5.6906384243591525E-3</v>
      </c>
      <c r="T345" t="s">
        <v>32</v>
      </c>
      <c r="U345" t="s">
        <v>32</v>
      </c>
      <c r="W345" t="s">
        <v>191</v>
      </c>
      <c r="Z345" t="s">
        <v>31</v>
      </c>
      <c r="AA345">
        <v>8.9764862591394656E-3</v>
      </c>
      <c r="AC345" t="s">
        <v>42</v>
      </c>
      <c r="AD345" t="s">
        <v>42</v>
      </c>
      <c r="AE345" t="s">
        <v>41</v>
      </c>
      <c r="AF345">
        <v>1.84</v>
      </c>
      <c r="AG345">
        <v>1.84</v>
      </c>
      <c r="AH345" t="s">
        <v>244</v>
      </c>
      <c r="AI345" t="s">
        <v>244</v>
      </c>
      <c r="AJ345">
        <v>-2.1591502863270002E-3</v>
      </c>
      <c r="AK345">
        <v>0</v>
      </c>
      <c r="AL345">
        <v>2.1591502863270002E-3</v>
      </c>
      <c r="AM345" t="s">
        <v>41</v>
      </c>
      <c r="AN345" t="s">
        <v>42</v>
      </c>
      <c r="AO345" t="s">
        <v>42</v>
      </c>
      <c r="AP345" t="s">
        <v>31</v>
      </c>
    </row>
    <row r="346" spans="1:43" x14ac:dyDescent="0.2">
      <c r="A346">
        <v>344</v>
      </c>
      <c r="B346">
        <v>101</v>
      </c>
      <c r="C346">
        <v>6</v>
      </c>
      <c r="F346" t="s">
        <v>29</v>
      </c>
      <c r="G346" t="s">
        <v>775</v>
      </c>
      <c r="I346">
        <v>2.1753896119872486E-5</v>
      </c>
      <c r="J346">
        <v>5.6881205529015997</v>
      </c>
      <c r="K346">
        <v>5.6881205529015997</v>
      </c>
      <c r="L346" s="1"/>
      <c r="M346" s="1"/>
      <c r="N346" s="1">
        <v>43164</v>
      </c>
      <c r="R346">
        <v>-5.6906384243591525E-3</v>
      </c>
      <c r="S346">
        <v>-5.6906384243591525E-3</v>
      </c>
      <c r="T346" t="s">
        <v>32</v>
      </c>
      <c r="U346" t="s">
        <v>32</v>
      </c>
      <c r="AA346">
        <v>1.5892768472346549E-2</v>
      </c>
      <c r="AC346" t="s">
        <v>42</v>
      </c>
      <c r="AD346" t="s">
        <v>42</v>
      </c>
      <c r="AF346">
        <v>1.91</v>
      </c>
      <c r="AG346">
        <v>1.91</v>
      </c>
      <c r="AH346" t="s">
        <v>244</v>
      </c>
      <c r="AI346" t="s">
        <v>244</v>
      </c>
      <c r="AJ346">
        <v>-3.8227514204299999E-3</v>
      </c>
      <c r="AK346">
        <v>0</v>
      </c>
      <c r="AL346">
        <v>3.8227514204299999E-3</v>
      </c>
      <c r="AN346" t="s">
        <v>42</v>
      </c>
      <c r="AO346" t="s">
        <v>42</v>
      </c>
    </row>
    <row r="347" spans="1:43" x14ac:dyDescent="0.2">
      <c r="A347">
        <v>345</v>
      </c>
      <c r="B347">
        <v>111</v>
      </c>
      <c r="C347">
        <v>6</v>
      </c>
      <c r="F347" t="s">
        <v>29</v>
      </c>
      <c r="G347" t="s">
        <v>776</v>
      </c>
      <c r="I347">
        <v>-3.6416959720782891E-6</v>
      </c>
      <c r="J347">
        <v>5.7183303198191</v>
      </c>
      <c r="K347">
        <v>5.7183303198191</v>
      </c>
      <c r="L347" s="1"/>
      <c r="M347" s="1"/>
      <c r="N347" s="1">
        <v>43164</v>
      </c>
      <c r="R347">
        <v>2.240343723986704E-3</v>
      </c>
      <c r="S347">
        <v>2.240343723986704E-3</v>
      </c>
      <c r="T347" t="s">
        <v>39</v>
      </c>
      <c r="U347" t="s">
        <v>39</v>
      </c>
      <c r="AA347">
        <v>-2.6605179417973843E-3</v>
      </c>
      <c r="AC347" t="s">
        <v>42</v>
      </c>
      <c r="AD347" t="s">
        <v>42</v>
      </c>
      <c r="AF347">
        <v>4.93</v>
      </c>
      <c r="AG347">
        <v>4.93</v>
      </c>
      <c r="AH347" t="s">
        <v>244</v>
      </c>
      <c r="AI347" t="s">
        <v>244</v>
      </c>
      <c r="AJ347">
        <v>-1.6255076991479999E-3</v>
      </c>
      <c r="AK347">
        <v>0</v>
      </c>
      <c r="AL347">
        <v>1.6255076991479999E-3</v>
      </c>
      <c r="AN347" t="s">
        <v>42</v>
      </c>
      <c r="AO347" t="s">
        <v>42</v>
      </c>
    </row>
    <row r="348" spans="1:43" x14ac:dyDescent="0.2">
      <c r="A348">
        <v>346</v>
      </c>
      <c r="B348">
        <v>106</v>
      </c>
      <c r="C348">
        <v>6</v>
      </c>
      <c r="F348" t="s">
        <v>29</v>
      </c>
      <c r="G348" t="s">
        <v>417</v>
      </c>
      <c r="I348">
        <v>-3.9992774308501717E-6</v>
      </c>
      <c r="J348">
        <v>1.7535867081165999</v>
      </c>
      <c r="K348">
        <v>1.7535867081165999</v>
      </c>
      <c r="L348" s="1"/>
      <c r="M348" s="1"/>
      <c r="N348" s="1">
        <v>43164</v>
      </c>
      <c r="R348">
        <v>1.2658285781207894E-3</v>
      </c>
      <c r="S348">
        <v>1.2658285781207894E-3</v>
      </c>
      <c r="T348" t="s">
        <v>39</v>
      </c>
      <c r="U348" t="s">
        <v>39</v>
      </c>
      <c r="W348" t="s">
        <v>191</v>
      </c>
      <c r="Z348" t="s">
        <v>31</v>
      </c>
      <c r="AA348">
        <v>-2.9217566322347261E-3</v>
      </c>
      <c r="AC348" t="s">
        <v>42</v>
      </c>
      <c r="AD348" t="s">
        <v>42</v>
      </c>
      <c r="AE348" t="s">
        <v>41</v>
      </c>
      <c r="AF348">
        <v>3.8</v>
      </c>
      <c r="AG348">
        <v>3.8</v>
      </c>
      <c r="AH348" t="s">
        <v>244</v>
      </c>
      <c r="AI348" t="s">
        <v>244</v>
      </c>
      <c r="AJ348">
        <v>-3.1594147106296E-3</v>
      </c>
      <c r="AK348">
        <v>0</v>
      </c>
      <c r="AL348">
        <v>3.1594147106296E-3</v>
      </c>
      <c r="AM348" t="s">
        <v>41</v>
      </c>
      <c r="AN348" t="s">
        <v>42</v>
      </c>
      <c r="AO348" t="s">
        <v>42</v>
      </c>
      <c r="AP348" t="s">
        <v>31</v>
      </c>
    </row>
    <row r="349" spans="1:43" x14ac:dyDescent="0.2">
      <c r="A349">
        <v>347</v>
      </c>
      <c r="B349">
        <v>109</v>
      </c>
      <c r="C349">
        <v>6</v>
      </c>
      <c r="F349" t="s">
        <v>29</v>
      </c>
      <c r="G349" t="s">
        <v>777</v>
      </c>
      <c r="I349">
        <v>-2.2637634463262631E-6</v>
      </c>
      <c r="J349">
        <v>3.4824795118546001</v>
      </c>
      <c r="K349">
        <v>3.4824795118546001</v>
      </c>
      <c r="L349" s="1"/>
      <c r="M349" s="1"/>
      <c r="N349" s="1">
        <v>43164</v>
      </c>
      <c r="R349">
        <v>1.4126282573991276E-3</v>
      </c>
      <c r="S349">
        <v>1.4126282573991276E-3</v>
      </c>
      <c r="T349" t="s">
        <v>39</v>
      </c>
      <c r="U349" t="s">
        <v>39</v>
      </c>
      <c r="AA349">
        <v>-1.6538402192588703E-3</v>
      </c>
      <c r="AC349" t="s">
        <v>42</v>
      </c>
      <c r="AD349" t="s">
        <v>42</v>
      </c>
      <c r="AF349">
        <v>4.43</v>
      </c>
      <c r="AG349">
        <v>4.43</v>
      </c>
      <c r="AH349" t="s">
        <v>244</v>
      </c>
      <c r="AI349" t="s">
        <v>244</v>
      </c>
      <c r="AJ349">
        <v>-1.6025188753438998E-3</v>
      </c>
      <c r="AK349">
        <v>0</v>
      </c>
      <c r="AL349">
        <v>1.6025188753438998E-3</v>
      </c>
      <c r="AN349" t="s">
        <v>42</v>
      </c>
      <c r="AO349" t="s">
        <v>42</v>
      </c>
    </row>
    <row r="350" spans="1:43" x14ac:dyDescent="0.2">
      <c r="A350">
        <v>348</v>
      </c>
      <c r="B350">
        <v>106</v>
      </c>
      <c r="C350">
        <v>6</v>
      </c>
      <c r="D350">
        <v>100000000</v>
      </c>
      <c r="E350" t="s">
        <v>316</v>
      </c>
      <c r="F350" t="s">
        <v>29</v>
      </c>
      <c r="G350" t="s">
        <v>778</v>
      </c>
      <c r="H350">
        <v>3.1395216861509101E-3</v>
      </c>
      <c r="I350">
        <v>-3.8446251514765135E-6</v>
      </c>
      <c r="J350">
        <v>1.92</v>
      </c>
      <c r="K350">
        <v>1.9232943051518001</v>
      </c>
      <c r="L350" s="1">
        <v>43891</v>
      </c>
      <c r="M350" s="1">
        <v>43165</v>
      </c>
      <c r="N350" s="1">
        <v>43164</v>
      </c>
      <c r="R350">
        <v>1.2658285781207894E-3</v>
      </c>
      <c r="S350">
        <v>1.2658285781207894E-3</v>
      </c>
      <c r="T350" t="s">
        <v>39</v>
      </c>
      <c r="U350" t="s">
        <v>39</v>
      </c>
      <c r="V350">
        <v>101946141</v>
      </c>
      <c r="W350" t="s">
        <v>191</v>
      </c>
      <c r="X350" t="s">
        <v>250</v>
      </c>
      <c r="Y350">
        <v>100000000</v>
      </c>
      <c r="Z350" t="s">
        <v>31</v>
      </c>
      <c r="AA350">
        <v>-2.8087721417203618E-3</v>
      </c>
      <c r="AB350">
        <v>101.87</v>
      </c>
      <c r="AC350" t="s">
        <v>42</v>
      </c>
      <c r="AD350" t="s">
        <v>42</v>
      </c>
      <c r="AE350" t="s">
        <v>41</v>
      </c>
      <c r="AF350">
        <v>3.8399999999999997E-2</v>
      </c>
      <c r="AG350">
        <v>3.85</v>
      </c>
      <c r="AH350" t="s">
        <v>244</v>
      </c>
      <c r="AI350" t="s">
        <v>244</v>
      </c>
      <c r="AJ350">
        <v>-3.0372399690834339E-3</v>
      </c>
      <c r="AK350">
        <v>1.6351675448702657E-3</v>
      </c>
      <c r="AL350">
        <v>4.6724075139536999E-3</v>
      </c>
      <c r="AM350" t="s">
        <v>41</v>
      </c>
      <c r="AN350" t="s">
        <v>138</v>
      </c>
      <c r="AO350" t="s">
        <v>42</v>
      </c>
      <c r="AP350" t="s">
        <v>31</v>
      </c>
      <c r="AQ350">
        <v>6.2790433723018194E-5</v>
      </c>
    </row>
    <row r="351" spans="1:43" x14ac:dyDescent="0.2">
      <c r="A351">
        <v>349</v>
      </c>
      <c r="B351">
        <v>95</v>
      </c>
      <c r="C351">
        <v>6</v>
      </c>
      <c r="F351" t="s">
        <v>29</v>
      </c>
      <c r="G351" t="s">
        <v>779</v>
      </c>
      <c r="I351">
        <v>7.0785070396909679E-6</v>
      </c>
      <c r="J351">
        <v>1.9590329237191</v>
      </c>
      <c r="K351">
        <v>1.9590329237191</v>
      </c>
      <c r="L351" s="1"/>
      <c r="M351" s="1"/>
      <c r="N351" s="1">
        <v>43164</v>
      </c>
      <c r="R351">
        <v>-2.8093124561633931E-3</v>
      </c>
      <c r="S351">
        <v>-2.8093124561633931E-3</v>
      </c>
      <c r="T351" t="s">
        <v>32</v>
      </c>
      <c r="U351" t="s">
        <v>32</v>
      </c>
      <c r="W351" t="s">
        <v>191</v>
      </c>
      <c r="Z351" t="s">
        <v>31</v>
      </c>
      <c r="AA351">
        <v>5.1713528873991487E-3</v>
      </c>
      <c r="AC351" t="s">
        <v>42</v>
      </c>
      <c r="AD351" t="s">
        <v>42</v>
      </c>
      <c r="AE351" t="s">
        <v>41</v>
      </c>
      <c r="AF351">
        <v>1.23</v>
      </c>
      <c r="AG351">
        <v>1.23</v>
      </c>
      <c r="AH351" t="s">
        <v>244</v>
      </c>
      <c r="AI351" t="s">
        <v>244</v>
      </c>
      <c r="AJ351">
        <v>-2.5196581548490001E-3</v>
      </c>
      <c r="AK351">
        <v>0</v>
      </c>
      <c r="AL351">
        <v>2.5196581548490001E-3</v>
      </c>
      <c r="AM351" t="s">
        <v>41</v>
      </c>
      <c r="AN351" t="s">
        <v>42</v>
      </c>
      <c r="AO351" t="s">
        <v>42</v>
      </c>
      <c r="AP351" t="s">
        <v>31</v>
      </c>
    </row>
    <row r="352" spans="1:43" x14ac:dyDescent="0.2">
      <c r="A352">
        <v>350</v>
      </c>
      <c r="B352">
        <v>98</v>
      </c>
      <c r="C352">
        <v>6</v>
      </c>
      <c r="F352" t="s">
        <v>29</v>
      </c>
      <c r="G352" t="s">
        <v>780</v>
      </c>
      <c r="I352">
        <v>1.1433149102451672E-5</v>
      </c>
      <c r="J352">
        <v>4.2917770555025996</v>
      </c>
      <c r="K352">
        <v>4.2917770555025996</v>
      </c>
      <c r="L352" s="1"/>
      <c r="M352" s="1"/>
      <c r="N352" s="1">
        <v>43164</v>
      </c>
      <c r="R352">
        <v>-4.4913223753632802E-3</v>
      </c>
      <c r="S352">
        <v>-4.4913223753632802E-3</v>
      </c>
      <c r="T352" t="s">
        <v>32</v>
      </c>
      <c r="U352" t="s">
        <v>32</v>
      </c>
      <c r="AA352">
        <v>8.3527286603658872E-3</v>
      </c>
      <c r="AC352" t="s">
        <v>42</v>
      </c>
      <c r="AD352" t="s">
        <v>42</v>
      </c>
      <c r="AF352">
        <v>1.7</v>
      </c>
      <c r="AG352">
        <v>1.7</v>
      </c>
      <c r="AH352" t="s">
        <v>244</v>
      </c>
      <c r="AI352" t="s">
        <v>244</v>
      </c>
      <c r="AJ352">
        <v>-2.54560865307E-3</v>
      </c>
      <c r="AK352">
        <v>0</v>
      </c>
      <c r="AL352">
        <v>2.54560865307E-3</v>
      </c>
      <c r="AN352" t="s">
        <v>42</v>
      </c>
      <c r="AO352" t="s">
        <v>42</v>
      </c>
    </row>
    <row r="353" spans="1:43" x14ac:dyDescent="0.2">
      <c r="A353">
        <v>351</v>
      </c>
      <c r="B353">
        <v>95</v>
      </c>
      <c r="C353">
        <v>6</v>
      </c>
      <c r="D353">
        <v>4000</v>
      </c>
      <c r="E353" t="s">
        <v>316</v>
      </c>
      <c r="F353" t="s">
        <v>29</v>
      </c>
      <c r="G353" t="s">
        <v>781</v>
      </c>
      <c r="H353">
        <v>4.3151301750088923E-3</v>
      </c>
      <c r="I353">
        <v>2.1338463429509838E-6</v>
      </c>
      <c r="J353">
        <v>2.44</v>
      </c>
      <c r="K353">
        <v>2.4414345129945998</v>
      </c>
      <c r="L353" s="1">
        <v>44075</v>
      </c>
      <c r="M353" s="1">
        <v>43165</v>
      </c>
      <c r="N353" s="1">
        <v>43164</v>
      </c>
      <c r="R353">
        <v>-2.8093124561633931E-3</v>
      </c>
      <c r="S353">
        <v>-2.8093124561633931E-3</v>
      </c>
      <c r="T353" t="s">
        <v>32</v>
      </c>
      <c r="U353" t="s">
        <v>32</v>
      </c>
      <c r="V353">
        <v>110258634</v>
      </c>
      <c r="W353" t="s">
        <v>191</v>
      </c>
      <c r="X353" t="s">
        <v>250</v>
      </c>
      <c r="Y353">
        <v>4000</v>
      </c>
      <c r="Z353" t="s">
        <v>31</v>
      </c>
      <c r="AA353">
        <v>1.5589265342268335E-3</v>
      </c>
      <c r="AB353">
        <v>102.24</v>
      </c>
      <c r="AC353" t="s">
        <v>42</v>
      </c>
      <c r="AD353" t="s">
        <v>42</v>
      </c>
      <c r="AE353" t="s">
        <v>41</v>
      </c>
      <c r="AF353">
        <v>7.8314849139223291E-2</v>
      </c>
      <c r="AG353">
        <v>1.32</v>
      </c>
      <c r="AH353" t="s">
        <v>244</v>
      </c>
      <c r="AI353" t="s">
        <v>244</v>
      </c>
      <c r="AJ353">
        <v>-7.595617704500993E-4</v>
      </c>
      <c r="AK353">
        <v>1.7684959733643003E-3</v>
      </c>
      <c r="AL353">
        <v>2.5280577438143996E-3</v>
      </c>
      <c r="AM353" t="s">
        <v>41</v>
      </c>
      <c r="AN353" t="s">
        <v>138</v>
      </c>
      <c r="AO353" t="s">
        <v>42</v>
      </c>
      <c r="AP353" t="s">
        <v>31</v>
      </c>
      <c r="AQ353">
        <v>1.3849949535734904E-4</v>
      </c>
    </row>
    <row r="354" spans="1:43" x14ac:dyDescent="0.2">
      <c r="A354">
        <v>352</v>
      </c>
      <c r="B354">
        <v>95</v>
      </c>
      <c r="C354">
        <v>6</v>
      </c>
      <c r="F354" t="s">
        <v>29</v>
      </c>
      <c r="G354" t="s">
        <v>782</v>
      </c>
      <c r="I354">
        <v>3.5750209288172433E-5</v>
      </c>
      <c r="J354">
        <v>2.9023360494650001</v>
      </c>
      <c r="K354">
        <v>2.9023360494650001</v>
      </c>
      <c r="L354" s="1"/>
      <c r="M354" s="1"/>
      <c r="N354" s="1">
        <v>43164</v>
      </c>
      <c r="R354">
        <v>-2.8093124561633931E-3</v>
      </c>
      <c r="S354">
        <v>-2.8093124561633931E-3</v>
      </c>
      <c r="T354" t="s">
        <v>32</v>
      </c>
      <c r="U354" t="s">
        <v>32</v>
      </c>
      <c r="W354" t="s">
        <v>191</v>
      </c>
      <c r="Z354" t="s">
        <v>31</v>
      </c>
      <c r="AA354">
        <v>2.6118070800927776E-2</v>
      </c>
      <c r="AC354" t="s">
        <v>42</v>
      </c>
      <c r="AD354" t="s">
        <v>42</v>
      </c>
      <c r="AE354" t="s">
        <v>41</v>
      </c>
      <c r="AF354">
        <v>1.49</v>
      </c>
      <c r="AG354">
        <v>1.49</v>
      </c>
      <c r="AH354" t="s">
        <v>244</v>
      </c>
      <c r="AI354" t="s">
        <v>244</v>
      </c>
      <c r="AJ354">
        <v>-1.2725608078852001E-2</v>
      </c>
      <c r="AK354">
        <v>0</v>
      </c>
      <c r="AL354">
        <v>1.2725608078852001E-2</v>
      </c>
      <c r="AM354" t="s">
        <v>41</v>
      </c>
      <c r="AN354" t="s">
        <v>42</v>
      </c>
      <c r="AO354" t="s">
        <v>42</v>
      </c>
      <c r="AP354" t="s">
        <v>31</v>
      </c>
    </row>
    <row r="355" spans="1:43" x14ac:dyDescent="0.2">
      <c r="A355">
        <v>353</v>
      </c>
      <c r="B355">
        <v>101</v>
      </c>
      <c r="C355">
        <v>6</v>
      </c>
      <c r="F355" t="s">
        <v>29</v>
      </c>
      <c r="G355" t="s">
        <v>783</v>
      </c>
      <c r="I355">
        <v>4.9984364090486494E-5</v>
      </c>
      <c r="J355">
        <v>7.1977476781392999</v>
      </c>
      <c r="K355">
        <v>7.1977476781392999</v>
      </c>
      <c r="L355" s="1"/>
      <c r="M355" s="1"/>
      <c r="N355" s="1">
        <v>43164</v>
      </c>
      <c r="R355">
        <v>-5.6906384243591525E-3</v>
      </c>
      <c r="S355">
        <v>-5.6906384243591525E-3</v>
      </c>
      <c r="T355" t="s">
        <v>32</v>
      </c>
      <c r="U355" t="s">
        <v>32</v>
      </c>
      <c r="AA355">
        <v>3.6517133360855228E-2</v>
      </c>
      <c r="AC355" t="s">
        <v>42</v>
      </c>
      <c r="AD355" t="s">
        <v>42</v>
      </c>
      <c r="AF355">
        <v>2.12</v>
      </c>
      <c r="AG355">
        <v>2.12</v>
      </c>
      <c r="AH355" t="s">
        <v>244</v>
      </c>
      <c r="AI355" t="s">
        <v>244</v>
      </c>
      <c r="AJ355">
        <v>-8.783612727268901E-3</v>
      </c>
      <c r="AK355">
        <v>0</v>
      </c>
      <c r="AL355">
        <v>8.783612727268901E-3</v>
      </c>
      <c r="AN355" t="s">
        <v>42</v>
      </c>
      <c r="AO355" t="s">
        <v>42</v>
      </c>
    </row>
    <row r="356" spans="1:43" x14ac:dyDescent="0.2">
      <c r="A356">
        <v>354</v>
      </c>
      <c r="B356">
        <v>106</v>
      </c>
      <c r="C356">
        <v>6</v>
      </c>
      <c r="D356">
        <v>200000000</v>
      </c>
      <c r="E356" t="s">
        <v>316</v>
      </c>
      <c r="F356" t="s">
        <v>29</v>
      </c>
      <c r="G356" t="s">
        <v>784</v>
      </c>
      <c r="H356">
        <v>9.3186992858131229E-3</v>
      </c>
      <c r="I356">
        <v>2.0086272646087661E-7</v>
      </c>
      <c r="J356">
        <v>2.8</v>
      </c>
      <c r="K356">
        <v>2.8022527718557999</v>
      </c>
      <c r="L356" s="1">
        <v>44256</v>
      </c>
      <c r="M356" s="1">
        <v>43165</v>
      </c>
      <c r="N356" s="1">
        <v>43164</v>
      </c>
      <c r="R356">
        <v>1.2658285781207894E-3</v>
      </c>
      <c r="S356">
        <v>1.2658285781207894E-3</v>
      </c>
      <c r="T356" t="s">
        <v>39</v>
      </c>
      <c r="U356" t="s">
        <v>39</v>
      </c>
      <c r="V356">
        <v>207494122</v>
      </c>
      <c r="W356" t="s">
        <v>191</v>
      </c>
      <c r="X356" t="s">
        <v>250</v>
      </c>
      <c r="Y356">
        <v>200000000</v>
      </c>
      <c r="Z356" t="s">
        <v>31</v>
      </c>
      <c r="AA356">
        <v>1.4674450906524328E-4</v>
      </c>
      <c r="AB356">
        <v>103.66</v>
      </c>
      <c r="AC356" t="s">
        <v>42</v>
      </c>
      <c r="AD356" t="s">
        <v>42</v>
      </c>
      <c r="AE356" t="s">
        <v>41</v>
      </c>
      <c r="AF356">
        <v>4.2200000000000001E-2</v>
      </c>
      <c r="AG356">
        <v>4.2300000000000004</v>
      </c>
      <c r="AH356" t="s">
        <v>244</v>
      </c>
      <c r="AI356" t="s">
        <v>244</v>
      </c>
      <c r="AJ356">
        <v>1.5868082766710111E-4</v>
      </c>
      <c r="AK356">
        <v>3.328106887790401E-3</v>
      </c>
      <c r="AL356">
        <v>3.1694260601232999E-3</v>
      </c>
      <c r="AM356" t="s">
        <v>41</v>
      </c>
      <c r="AN356" t="s">
        <v>138</v>
      </c>
      <c r="AO356" t="s">
        <v>42</v>
      </c>
      <c r="AP356" t="s">
        <v>31</v>
      </c>
      <c r="AQ356">
        <v>1.4044611066475494E-4</v>
      </c>
    </row>
    <row r="357" spans="1:43" x14ac:dyDescent="0.2">
      <c r="A357">
        <v>355</v>
      </c>
      <c r="B357">
        <v>98</v>
      </c>
      <c r="C357">
        <v>6</v>
      </c>
      <c r="F357" t="s">
        <v>29</v>
      </c>
      <c r="G357" t="s">
        <v>785</v>
      </c>
      <c r="I357">
        <v>2.7071181835186047E-5</v>
      </c>
      <c r="J357">
        <v>4.4776513631448998</v>
      </c>
      <c r="K357">
        <v>4.4776513631448998</v>
      </c>
      <c r="L357" s="1"/>
      <c r="M357" s="1"/>
      <c r="N357" s="1">
        <v>43164</v>
      </c>
      <c r="R357">
        <v>-4.4913223753632802E-3</v>
      </c>
      <c r="S357">
        <v>-4.4913223753632802E-3</v>
      </c>
      <c r="T357" t="s">
        <v>32</v>
      </c>
      <c r="U357" t="s">
        <v>32</v>
      </c>
      <c r="AA357">
        <v>1.9777423906441237E-2</v>
      </c>
      <c r="AC357" t="s">
        <v>42</v>
      </c>
      <c r="AD357" t="s">
        <v>42</v>
      </c>
      <c r="AF357">
        <v>1.71</v>
      </c>
      <c r="AG357">
        <v>1.71</v>
      </c>
      <c r="AH357" t="s">
        <v>244</v>
      </c>
      <c r="AI357" t="s">
        <v>244</v>
      </c>
      <c r="AJ357">
        <v>-6.0274412684518993E-3</v>
      </c>
      <c r="AK357">
        <v>0</v>
      </c>
      <c r="AL357">
        <v>6.0274412684518993E-3</v>
      </c>
      <c r="AN357" t="s">
        <v>42</v>
      </c>
      <c r="AO357" t="s">
        <v>42</v>
      </c>
    </row>
    <row r="358" spans="1:43" x14ac:dyDescent="0.2">
      <c r="A358">
        <v>356</v>
      </c>
      <c r="B358">
        <v>101</v>
      </c>
      <c r="C358">
        <v>6</v>
      </c>
      <c r="D358">
        <v>10000</v>
      </c>
      <c r="E358" t="s">
        <v>316</v>
      </c>
      <c r="F358" t="s">
        <v>29</v>
      </c>
      <c r="G358" t="s">
        <v>786</v>
      </c>
      <c r="H358">
        <v>2.8083214369915632E-2</v>
      </c>
      <c r="I358">
        <v>8.6624123993396018E-6</v>
      </c>
      <c r="J358">
        <v>6.19</v>
      </c>
      <c r="K358">
        <v>6.1974952246840997</v>
      </c>
      <c r="L358" s="1">
        <v>45627</v>
      </c>
      <c r="M358" s="1">
        <v>43165</v>
      </c>
      <c r="N358" s="1">
        <v>43164</v>
      </c>
      <c r="R358">
        <v>-5.6906384243591525E-3</v>
      </c>
      <c r="S358">
        <v>-5.6906384243591525E-3</v>
      </c>
      <c r="T358" t="s">
        <v>32</v>
      </c>
      <c r="U358" t="s">
        <v>32</v>
      </c>
      <c r="V358">
        <v>282855546</v>
      </c>
      <c r="W358" t="s">
        <v>191</v>
      </c>
      <c r="X358" t="s">
        <v>250</v>
      </c>
      <c r="Y358">
        <v>10000</v>
      </c>
      <c r="Z358" t="s">
        <v>31</v>
      </c>
      <c r="AA358">
        <v>6.328508415967154E-3</v>
      </c>
      <c r="AB358">
        <v>104.23</v>
      </c>
      <c r="AC358" t="s">
        <v>42</v>
      </c>
      <c r="AD358" t="s">
        <v>42</v>
      </c>
      <c r="AE358" t="s">
        <v>41</v>
      </c>
      <c r="AF358">
        <v>8.4814849139223283E-2</v>
      </c>
      <c r="AG358">
        <v>1.97</v>
      </c>
      <c r="AH358" t="s">
        <v>244</v>
      </c>
      <c r="AI358" t="s">
        <v>244</v>
      </c>
      <c r="AJ358">
        <v>-1.522221542359742E-3</v>
      </c>
      <c r="AK358">
        <v>4.5368682342351585E-3</v>
      </c>
      <c r="AL358">
        <v>6.0590897765949005E-3</v>
      </c>
      <c r="AM358" t="s">
        <v>41</v>
      </c>
      <c r="AN358" t="s">
        <v>138</v>
      </c>
      <c r="AO358" t="s">
        <v>42</v>
      </c>
      <c r="AP358" t="s">
        <v>31</v>
      </c>
      <c r="AQ358">
        <v>3.8479379485118929E-4</v>
      </c>
    </row>
    <row r="359" spans="1:43" x14ac:dyDescent="0.2">
      <c r="A359">
        <v>357</v>
      </c>
      <c r="B359">
        <v>101</v>
      </c>
      <c r="C359">
        <v>6</v>
      </c>
      <c r="F359" t="s">
        <v>29</v>
      </c>
      <c r="G359" t="s">
        <v>787</v>
      </c>
      <c r="I359">
        <v>2.5060861589371057E-5</v>
      </c>
      <c r="J359">
        <v>5.8030789885671998</v>
      </c>
      <c r="K359">
        <v>5.8030789885671998</v>
      </c>
      <c r="L359" s="1"/>
      <c r="M359" s="1"/>
      <c r="N359" s="1">
        <v>43164</v>
      </c>
      <c r="R359">
        <v>-5.6906384243591525E-3</v>
      </c>
      <c r="S359">
        <v>-5.6906384243591525E-3</v>
      </c>
      <c r="T359" t="s">
        <v>32</v>
      </c>
      <c r="U359" t="s">
        <v>32</v>
      </c>
      <c r="AA359">
        <v>1.8308741972595736E-2</v>
      </c>
      <c r="AC359" t="s">
        <v>42</v>
      </c>
      <c r="AD359" t="s">
        <v>42</v>
      </c>
      <c r="AF359">
        <v>1.94</v>
      </c>
      <c r="AG359">
        <v>1.94</v>
      </c>
      <c r="AH359" t="s">
        <v>244</v>
      </c>
      <c r="AI359" t="s">
        <v>244</v>
      </c>
      <c r="AJ359">
        <v>-4.4038752281460002E-3</v>
      </c>
      <c r="AK359">
        <v>0</v>
      </c>
      <c r="AL359">
        <v>4.4038752281460002E-3</v>
      </c>
      <c r="AN359" t="s">
        <v>42</v>
      </c>
      <c r="AO359" t="s">
        <v>42</v>
      </c>
    </row>
    <row r="360" spans="1:43" x14ac:dyDescent="0.2">
      <c r="A360">
        <v>358</v>
      </c>
      <c r="B360">
        <v>95</v>
      </c>
      <c r="C360">
        <v>6</v>
      </c>
      <c r="F360" t="s">
        <v>29</v>
      </c>
      <c r="G360" t="s">
        <v>788</v>
      </c>
      <c r="I360">
        <v>1.1859536609897907E-5</v>
      </c>
      <c r="J360">
        <v>1.3040527963033</v>
      </c>
      <c r="K360">
        <v>1.3040527963033</v>
      </c>
      <c r="L360" s="1"/>
      <c r="M360" s="1"/>
      <c r="N360" s="1">
        <v>43164</v>
      </c>
      <c r="R360">
        <v>-2.8093124561633931E-3</v>
      </c>
      <c r="S360">
        <v>-2.8093124561633931E-3</v>
      </c>
      <c r="T360" t="s">
        <v>32</v>
      </c>
      <c r="U360" t="s">
        <v>32</v>
      </c>
      <c r="W360" t="s">
        <v>191</v>
      </c>
      <c r="Z360" t="s">
        <v>31</v>
      </c>
      <c r="AA360">
        <v>8.6642350635408819E-3</v>
      </c>
      <c r="AC360" t="s">
        <v>42</v>
      </c>
      <c r="AD360" t="s">
        <v>42</v>
      </c>
      <c r="AE360" t="s">
        <v>41</v>
      </c>
      <c r="AF360">
        <v>1.1100000000000001</v>
      </c>
      <c r="AG360">
        <v>1.1100000000000001</v>
      </c>
      <c r="AH360" t="s">
        <v>244</v>
      </c>
      <c r="AI360" t="s">
        <v>244</v>
      </c>
      <c r="AJ360">
        <v>-4.2215085701410998E-3</v>
      </c>
      <c r="AK360">
        <v>0</v>
      </c>
      <c r="AL360">
        <v>4.2215085701410998E-3</v>
      </c>
      <c r="AM360" t="s">
        <v>41</v>
      </c>
      <c r="AN360" t="s">
        <v>42</v>
      </c>
      <c r="AO360" t="s">
        <v>42</v>
      </c>
      <c r="AP360" t="s">
        <v>31</v>
      </c>
    </row>
    <row r="361" spans="1:43" x14ac:dyDescent="0.2">
      <c r="A361">
        <v>359</v>
      </c>
      <c r="B361">
        <v>106</v>
      </c>
      <c r="C361">
        <v>6</v>
      </c>
      <c r="F361" t="s">
        <v>29</v>
      </c>
      <c r="G361" t="s">
        <v>789</v>
      </c>
      <c r="I361">
        <v>-8.055017614182731E-6</v>
      </c>
      <c r="J361">
        <v>1.2020223065669999</v>
      </c>
      <c r="K361">
        <v>1.2020223065669999</v>
      </c>
      <c r="L361" s="1"/>
      <c r="M361" s="1"/>
      <c r="N361" s="1">
        <v>43164</v>
      </c>
      <c r="R361">
        <v>1.2658285781207894E-3</v>
      </c>
      <c r="S361">
        <v>1.2658285781207894E-3</v>
      </c>
      <c r="T361" t="s">
        <v>39</v>
      </c>
      <c r="U361" t="s">
        <v>39</v>
      </c>
      <c r="W361" t="s">
        <v>191</v>
      </c>
      <c r="Z361" t="s">
        <v>31</v>
      </c>
      <c r="AA361">
        <v>-5.8847633213589979E-3</v>
      </c>
      <c r="AC361" t="s">
        <v>42</v>
      </c>
      <c r="AD361" t="s">
        <v>42</v>
      </c>
      <c r="AE361" t="s">
        <v>41</v>
      </c>
      <c r="AF361">
        <v>3.32</v>
      </c>
      <c r="AG361">
        <v>3.32</v>
      </c>
      <c r="AH361" t="s">
        <v>244</v>
      </c>
      <c r="AI361" t="s">
        <v>244</v>
      </c>
      <c r="AJ361">
        <v>-6.3634347915741997E-3</v>
      </c>
      <c r="AK361">
        <v>0</v>
      </c>
      <c r="AL361">
        <v>6.3634347915741997E-3</v>
      </c>
      <c r="AM361" t="s">
        <v>41</v>
      </c>
      <c r="AN361" t="s">
        <v>42</v>
      </c>
      <c r="AO361" t="s">
        <v>42</v>
      </c>
      <c r="AP361" t="s">
        <v>31</v>
      </c>
    </row>
    <row r="362" spans="1:43" x14ac:dyDescent="0.2">
      <c r="A362">
        <v>360</v>
      </c>
      <c r="B362">
        <v>106</v>
      </c>
      <c r="C362">
        <v>6</v>
      </c>
      <c r="D362">
        <v>60000000</v>
      </c>
      <c r="E362" t="s">
        <v>316</v>
      </c>
      <c r="F362" t="s">
        <v>29</v>
      </c>
      <c r="G362" t="s">
        <v>418</v>
      </c>
      <c r="H362">
        <v>1.2024154949506398E-3</v>
      </c>
      <c r="I362">
        <v>-7.4537782330926836E-7</v>
      </c>
      <c r="J362">
        <v>1.2</v>
      </c>
      <c r="K362">
        <v>1.2020223065669999</v>
      </c>
      <c r="L362" s="1">
        <v>43617</v>
      </c>
      <c r="M362" s="1">
        <v>43165</v>
      </c>
      <c r="N362" s="1">
        <v>43164</v>
      </c>
      <c r="R362">
        <v>1.2658285781207894E-3</v>
      </c>
      <c r="S362">
        <v>1.2658285781207894E-3</v>
      </c>
      <c r="T362" t="s">
        <v>39</v>
      </c>
      <c r="U362" t="s">
        <v>39</v>
      </c>
      <c r="V362">
        <v>62471488</v>
      </c>
      <c r="W362" t="s">
        <v>191</v>
      </c>
      <c r="X362" t="s">
        <v>250</v>
      </c>
      <c r="Y362">
        <v>60000000</v>
      </c>
      <c r="Z362" t="s">
        <v>31</v>
      </c>
      <c r="AA362">
        <v>-5.4455151872561552E-4</v>
      </c>
      <c r="AB362">
        <v>102.65</v>
      </c>
      <c r="AC362" t="s">
        <v>42</v>
      </c>
      <c r="AD362" t="s">
        <v>42</v>
      </c>
      <c r="AE362" t="s">
        <v>41</v>
      </c>
      <c r="AF362">
        <v>3.3000000000000002E-2</v>
      </c>
      <c r="AG362">
        <v>3.32</v>
      </c>
      <c r="AH362" t="s">
        <v>244</v>
      </c>
      <c r="AI362" t="s">
        <v>244</v>
      </c>
      <c r="AJ362">
        <v>-5.888457854347337E-4</v>
      </c>
      <c r="AK362">
        <v>1.0020129124588665E-3</v>
      </c>
      <c r="AL362">
        <v>1.5908586978936002E-3</v>
      </c>
      <c r="AM362" t="s">
        <v>41</v>
      </c>
      <c r="AN362" t="s">
        <v>138</v>
      </c>
      <c r="AO362" t="s">
        <v>42</v>
      </c>
      <c r="AP362" t="s">
        <v>31</v>
      </c>
      <c r="AQ362">
        <v>3.3066426111142598E-5</v>
      </c>
    </row>
    <row r="363" spans="1:43" x14ac:dyDescent="0.2">
      <c r="A363">
        <v>361</v>
      </c>
      <c r="B363">
        <v>95</v>
      </c>
      <c r="C363">
        <v>6</v>
      </c>
      <c r="F363" t="s">
        <v>29</v>
      </c>
      <c r="G363" t="s">
        <v>790</v>
      </c>
      <c r="I363">
        <v>7.2850749883787299E-6</v>
      </c>
      <c r="J363">
        <v>2.0056053097536002</v>
      </c>
      <c r="K363">
        <v>2.0056053097536002</v>
      </c>
      <c r="L363" s="1"/>
      <c r="M363" s="1"/>
      <c r="N363" s="1">
        <v>43164</v>
      </c>
      <c r="R363">
        <v>-2.8093124561633931E-3</v>
      </c>
      <c r="S363">
        <v>-2.8093124561633931E-3</v>
      </c>
      <c r="T363" t="s">
        <v>32</v>
      </c>
      <c r="U363" t="s">
        <v>32</v>
      </c>
      <c r="W363" t="s">
        <v>191</v>
      </c>
      <c r="Z363" t="s">
        <v>31</v>
      </c>
      <c r="AA363">
        <v>5.3222654671141517E-3</v>
      </c>
      <c r="AC363" t="s">
        <v>42</v>
      </c>
      <c r="AD363" t="s">
        <v>42</v>
      </c>
      <c r="AE363" t="s">
        <v>41</v>
      </c>
      <c r="AF363">
        <v>1.22</v>
      </c>
      <c r="AG363">
        <v>1.22</v>
      </c>
      <c r="AH363" t="s">
        <v>244</v>
      </c>
      <c r="AI363" t="s">
        <v>244</v>
      </c>
      <c r="AJ363">
        <v>-2.5931878714295E-3</v>
      </c>
      <c r="AK363">
        <v>0</v>
      </c>
      <c r="AL363">
        <v>2.5931878714295E-3</v>
      </c>
      <c r="AM363" t="s">
        <v>41</v>
      </c>
      <c r="AN363" t="s">
        <v>42</v>
      </c>
      <c r="AO363" t="s">
        <v>42</v>
      </c>
      <c r="AP363" t="s">
        <v>31</v>
      </c>
    </row>
    <row r="364" spans="1:43" x14ac:dyDescent="0.2">
      <c r="A364">
        <v>362</v>
      </c>
      <c r="B364">
        <v>87</v>
      </c>
      <c r="C364">
        <v>6</v>
      </c>
      <c r="D364">
        <v>20000</v>
      </c>
      <c r="E364" t="s">
        <v>442</v>
      </c>
      <c r="F364" t="s">
        <v>29</v>
      </c>
      <c r="G364" t="s">
        <v>791</v>
      </c>
      <c r="H364">
        <v>7.1444710688322909E-3</v>
      </c>
      <c r="I364">
        <v>-8.6949920710206332E-6</v>
      </c>
      <c r="J364">
        <v>0.8</v>
      </c>
      <c r="K364">
        <v>0.80820493063328003</v>
      </c>
      <c r="L364" s="1">
        <v>43556</v>
      </c>
      <c r="M364" s="1">
        <v>43165</v>
      </c>
      <c r="N364" s="1">
        <v>43164</v>
      </c>
      <c r="R364">
        <v>-1.1321890462595416E-3</v>
      </c>
      <c r="S364">
        <v>-1.1321890462595416E-3</v>
      </c>
      <c r="T364" t="s">
        <v>32</v>
      </c>
      <c r="U364" t="s">
        <v>32</v>
      </c>
      <c r="V364">
        <v>556786411</v>
      </c>
      <c r="W364" t="s">
        <v>443</v>
      </c>
      <c r="X364" t="s">
        <v>792</v>
      </c>
      <c r="Y364">
        <v>20000</v>
      </c>
      <c r="Z364" t="s">
        <v>31</v>
      </c>
      <c r="AA364">
        <v>-6.3523101835254118E-3</v>
      </c>
      <c r="AB364">
        <v>101.7</v>
      </c>
      <c r="AC364" t="s">
        <v>138</v>
      </c>
      <c r="AD364" t="s">
        <v>138</v>
      </c>
      <c r="AE364" t="s">
        <v>41</v>
      </c>
      <c r="AF364">
        <v>8.0514849139223285E-2</v>
      </c>
      <c r="AG364">
        <v>1.58</v>
      </c>
      <c r="AH364" t="s">
        <v>244</v>
      </c>
      <c r="AI364" t="s">
        <v>244</v>
      </c>
      <c r="AJ364">
        <v>7.6798058590538633E-3</v>
      </c>
      <c r="AK364">
        <v>8.9305888360403634E-3</v>
      </c>
      <c r="AL364">
        <v>1.2507829769864999E-3</v>
      </c>
      <c r="AM364" t="s">
        <v>41</v>
      </c>
      <c r="AN364" t="s">
        <v>142</v>
      </c>
      <c r="AO364" t="s">
        <v>138</v>
      </c>
      <c r="AP364" t="s">
        <v>31</v>
      </c>
      <c r="AQ364">
        <v>7.1904501285822151E-4</v>
      </c>
    </row>
    <row r="365" spans="1:43" x14ac:dyDescent="0.2">
      <c r="A365">
        <v>363</v>
      </c>
      <c r="B365">
        <v>87</v>
      </c>
      <c r="C365">
        <v>6</v>
      </c>
      <c r="F365" t="s">
        <v>29</v>
      </c>
      <c r="G365" t="s">
        <v>793</v>
      </c>
      <c r="I365">
        <v>9.5153566772213848E-7</v>
      </c>
      <c r="J365">
        <v>1.4992505147888999</v>
      </c>
      <c r="K365">
        <v>1.4992505147888999</v>
      </c>
      <c r="L365" s="1"/>
      <c r="M365" s="1"/>
      <c r="N365" s="1">
        <v>43164</v>
      </c>
      <c r="R365">
        <v>-1.1321890462595416E-3</v>
      </c>
      <c r="S365">
        <v>-1.1321890462595416E-3</v>
      </c>
      <c r="T365" t="s">
        <v>32</v>
      </c>
      <c r="U365" t="s">
        <v>32</v>
      </c>
      <c r="W365" t="s">
        <v>443</v>
      </c>
      <c r="Z365" t="s">
        <v>31</v>
      </c>
      <c r="AA365">
        <v>6.9516448809705297E-4</v>
      </c>
      <c r="AC365" t="s">
        <v>138</v>
      </c>
      <c r="AD365" t="s">
        <v>138</v>
      </c>
      <c r="AE365" t="s">
        <v>41</v>
      </c>
      <c r="AF365">
        <v>1.98</v>
      </c>
      <c r="AG365">
        <v>1.98</v>
      </c>
      <c r="AH365" t="s">
        <v>244</v>
      </c>
      <c r="AI365" t="s">
        <v>244</v>
      </c>
      <c r="AJ365">
        <v>-8.4043885680202006E-4</v>
      </c>
      <c r="AK365">
        <v>0</v>
      </c>
      <c r="AL365">
        <v>8.4043885680202006E-4</v>
      </c>
      <c r="AM365" t="s">
        <v>41</v>
      </c>
      <c r="AN365" t="s">
        <v>138</v>
      </c>
      <c r="AO365" t="s">
        <v>138</v>
      </c>
      <c r="AP365" t="s">
        <v>31</v>
      </c>
    </row>
    <row r="366" spans="1:43" x14ac:dyDescent="0.2">
      <c r="A366">
        <v>364</v>
      </c>
      <c r="B366">
        <v>88</v>
      </c>
      <c r="C366">
        <v>6</v>
      </c>
      <c r="F366" t="s">
        <v>29</v>
      </c>
      <c r="G366" t="s">
        <v>794</v>
      </c>
      <c r="I366">
        <v>1.3021431388695769E-6</v>
      </c>
      <c r="J366">
        <v>2.3505671615546002</v>
      </c>
      <c r="K366">
        <v>2.3505671615546002</v>
      </c>
      <c r="L366" s="1"/>
      <c r="M366" s="1"/>
      <c r="N366" s="1">
        <v>43164</v>
      </c>
      <c r="R366">
        <v>-1.5672634836400843E-3</v>
      </c>
      <c r="S366">
        <v>-1.5672634836400843E-3</v>
      </c>
      <c r="T366" t="s">
        <v>32</v>
      </c>
      <c r="U366" t="s">
        <v>32</v>
      </c>
      <c r="W366" t="s">
        <v>443</v>
      </c>
      <c r="Z366" t="s">
        <v>31</v>
      </c>
      <c r="AA366">
        <v>9.5130818451430997E-4</v>
      </c>
      <c r="AC366" t="s">
        <v>138</v>
      </c>
      <c r="AD366" t="s">
        <v>138</v>
      </c>
      <c r="AE366" t="s">
        <v>41</v>
      </c>
      <c r="AF366">
        <v>2.21</v>
      </c>
      <c r="AG366">
        <v>2.21</v>
      </c>
      <c r="AH366" t="s">
        <v>244</v>
      </c>
      <c r="AI366" t="s">
        <v>244</v>
      </c>
      <c r="AJ366">
        <v>-8.3083868951330006E-4</v>
      </c>
      <c r="AK366">
        <v>0</v>
      </c>
      <c r="AL366">
        <v>8.3083868951330006E-4</v>
      </c>
      <c r="AM366" t="s">
        <v>41</v>
      </c>
      <c r="AN366" t="s">
        <v>138</v>
      </c>
      <c r="AO366" t="s">
        <v>138</v>
      </c>
      <c r="AP366" t="s">
        <v>31</v>
      </c>
    </row>
    <row r="367" spans="1:43" x14ac:dyDescent="0.2">
      <c r="A367">
        <v>365</v>
      </c>
      <c r="B367">
        <v>88</v>
      </c>
      <c r="C367">
        <v>6</v>
      </c>
      <c r="D367">
        <v>15000</v>
      </c>
      <c r="E367" t="s">
        <v>442</v>
      </c>
      <c r="F367" t="s">
        <v>29</v>
      </c>
      <c r="G367" t="s">
        <v>795</v>
      </c>
      <c r="H367">
        <v>1.6276716536883465E-2</v>
      </c>
      <c r="I367">
        <v>-7.9944776492683417E-6</v>
      </c>
      <c r="J367">
        <v>2.38</v>
      </c>
      <c r="K367">
        <v>2.3900253615336</v>
      </c>
      <c r="L367" s="1">
        <v>44084</v>
      </c>
      <c r="M367" s="1">
        <v>43165</v>
      </c>
      <c r="N367" s="1">
        <v>43164</v>
      </c>
      <c r="R367">
        <v>-1.5672634836400843E-3</v>
      </c>
      <c r="S367">
        <v>-1.5672634836400843E-3</v>
      </c>
      <c r="T367" t="s">
        <v>32</v>
      </c>
      <c r="U367" t="s">
        <v>32</v>
      </c>
      <c r="V367">
        <v>426381522</v>
      </c>
      <c r="W367" t="s">
        <v>443</v>
      </c>
      <c r="X367" t="s">
        <v>796</v>
      </c>
      <c r="Y367">
        <v>15000</v>
      </c>
      <c r="Z367" t="s">
        <v>31</v>
      </c>
      <c r="AA367">
        <v>-5.840534570775352E-3</v>
      </c>
      <c r="AB367">
        <v>103.6</v>
      </c>
      <c r="AC367" t="s">
        <v>138</v>
      </c>
      <c r="AD367" t="s">
        <v>138</v>
      </c>
      <c r="AE367" t="s">
        <v>41</v>
      </c>
      <c r="AF367">
        <v>8.7214849139223283E-2</v>
      </c>
      <c r="AG367">
        <v>2.2000000000000002</v>
      </c>
      <c r="AH367" t="s">
        <v>244</v>
      </c>
      <c r="AI367" t="s">
        <v>244</v>
      </c>
      <c r="AJ367">
        <v>5.1009148957522968E-3</v>
      </c>
      <c r="AK367">
        <v>6.8389565281022965E-3</v>
      </c>
      <c r="AL367">
        <v>1.7380416323499999E-3</v>
      </c>
      <c r="AM367" t="s">
        <v>41</v>
      </c>
      <c r="AN367" t="s">
        <v>142</v>
      </c>
      <c r="AO367" t="s">
        <v>138</v>
      </c>
      <c r="AP367" t="s">
        <v>31</v>
      </c>
      <c r="AQ367">
        <v>5.9645856186814805E-4</v>
      </c>
    </row>
    <row r="368" spans="1:43" x14ac:dyDescent="0.2">
      <c r="A368">
        <v>366</v>
      </c>
      <c r="B368">
        <v>89</v>
      </c>
      <c r="C368">
        <v>6</v>
      </c>
      <c r="D368">
        <v>30000</v>
      </c>
      <c r="E368" t="s">
        <v>442</v>
      </c>
      <c r="F368" t="s">
        <v>29</v>
      </c>
      <c r="G368" t="s">
        <v>797</v>
      </c>
      <c r="H368">
        <v>4.248184623746859E-2</v>
      </c>
      <c r="I368">
        <v>-5.2942848258882654E-6</v>
      </c>
      <c r="J368">
        <v>3.17</v>
      </c>
      <c r="K368">
        <v>3.1776381962379001</v>
      </c>
      <c r="L368" s="1">
        <v>44382</v>
      </c>
      <c r="M368" s="1">
        <v>43165</v>
      </c>
      <c r="N368" s="1">
        <v>43164</v>
      </c>
      <c r="R368">
        <v>-4.3669241811467843E-4</v>
      </c>
      <c r="S368">
        <v>-4.3669241811467843E-4</v>
      </c>
      <c r="T368" t="s">
        <v>32</v>
      </c>
      <c r="U368" t="s">
        <v>32</v>
      </c>
      <c r="V368">
        <v>835511925</v>
      </c>
      <c r="W368" t="s">
        <v>443</v>
      </c>
      <c r="X368" t="s">
        <v>792</v>
      </c>
      <c r="Y368">
        <v>30000</v>
      </c>
      <c r="Z368" t="s">
        <v>31</v>
      </c>
      <c r="AA368">
        <v>-3.867851648313974E-3</v>
      </c>
      <c r="AB368">
        <v>102.79</v>
      </c>
      <c r="AC368" t="s">
        <v>138</v>
      </c>
      <c r="AD368" t="s">
        <v>138</v>
      </c>
      <c r="AE368" t="s">
        <v>41</v>
      </c>
      <c r="AF368">
        <v>8.8614849139223281E-2</v>
      </c>
      <c r="AG368">
        <v>2.34</v>
      </c>
      <c r="AH368" t="s">
        <v>244</v>
      </c>
      <c r="AI368" t="s">
        <v>244</v>
      </c>
      <c r="AJ368">
        <v>1.2123601432663184E-2</v>
      </c>
      <c r="AK368">
        <v>1.3401213324122583E-2</v>
      </c>
      <c r="AL368">
        <v>1.2776118914593999E-3</v>
      </c>
      <c r="AM368" t="s">
        <v>41</v>
      </c>
      <c r="AN368" t="s">
        <v>142</v>
      </c>
      <c r="AO368" t="s">
        <v>138</v>
      </c>
      <c r="AP368" t="s">
        <v>31</v>
      </c>
      <c r="AQ368">
        <v>1.1875464969996717E-3</v>
      </c>
    </row>
    <row r="369" spans="1:43" x14ac:dyDescent="0.2">
      <c r="A369">
        <v>367</v>
      </c>
      <c r="B369">
        <v>102</v>
      </c>
      <c r="C369">
        <v>6</v>
      </c>
      <c r="D369">
        <v>20000</v>
      </c>
      <c r="E369" t="s">
        <v>397</v>
      </c>
      <c r="F369" t="s">
        <v>29</v>
      </c>
      <c r="G369" t="s">
        <v>798</v>
      </c>
      <c r="H369">
        <v>4.8149914079307805E-2</v>
      </c>
      <c r="I369">
        <v>-1.2510021408986782E-5</v>
      </c>
      <c r="J369">
        <v>5.0599999999999996</v>
      </c>
      <c r="K369">
        <v>5.0688089725009</v>
      </c>
      <c r="L369" s="1">
        <v>45203</v>
      </c>
      <c r="M369" s="1">
        <v>43165</v>
      </c>
      <c r="N369" s="1">
        <v>43164</v>
      </c>
      <c r="R369">
        <v>-1.8407209487297778E-3</v>
      </c>
      <c r="S369">
        <v>-1.8407209487297778E-3</v>
      </c>
      <c r="T369" t="s">
        <v>32</v>
      </c>
      <c r="U369" t="s">
        <v>32</v>
      </c>
      <c r="V369">
        <v>593271563</v>
      </c>
      <c r="W369" t="s">
        <v>399</v>
      </c>
      <c r="X369" t="s">
        <v>400</v>
      </c>
      <c r="Y369">
        <v>20000</v>
      </c>
      <c r="Z369" t="s">
        <v>31</v>
      </c>
      <c r="AA369">
        <v>-9.1394604783233135E-3</v>
      </c>
      <c r="AB369">
        <v>108.44</v>
      </c>
      <c r="AC369" t="s">
        <v>33</v>
      </c>
      <c r="AD369" t="s">
        <v>33</v>
      </c>
      <c r="AE369" t="s">
        <v>43</v>
      </c>
      <c r="AF369">
        <v>8.4514849139223289E-2</v>
      </c>
      <c r="AG369">
        <v>1.94</v>
      </c>
      <c r="AH369" t="s">
        <v>244</v>
      </c>
      <c r="AI369" t="s">
        <v>244</v>
      </c>
      <c r="AJ369">
        <v>6.7962617677706904E-3</v>
      </c>
      <c r="AK369">
        <v>9.5157932963058911E-3</v>
      </c>
      <c r="AL369">
        <v>2.7195315285352003E-3</v>
      </c>
      <c r="AM369" t="s">
        <v>43</v>
      </c>
      <c r="AN369" t="s">
        <v>144</v>
      </c>
      <c r="AO369" t="s">
        <v>33</v>
      </c>
      <c r="AP369" t="s">
        <v>31</v>
      </c>
      <c r="AQ369">
        <v>8.0422583487732471E-4</v>
      </c>
    </row>
    <row r="370" spans="1:43" x14ac:dyDescent="0.2">
      <c r="A370">
        <v>368</v>
      </c>
      <c r="B370">
        <v>96</v>
      </c>
      <c r="C370">
        <v>6</v>
      </c>
      <c r="F370" t="s">
        <v>29</v>
      </c>
      <c r="G370" t="s">
        <v>799</v>
      </c>
      <c r="I370">
        <v>4.0829776243437326E-6</v>
      </c>
      <c r="J370">
        <v>2.2427921932123001</v>
      </c>
      <c r="K370">
        <v>2.2427921932123001</v>
      </c>
      <c r="L370" s="1"/>
      <c r="M370" s="1"/>
      <c r="N370" s="1">
        <v>43164</v>
      </c>
      <c r="R370">
        <v>-2.4313878536657216E-3</v>
      </c>
      <c r="S370">
        <v>-2.4313878536657216E-3</v>
      </c>
      <c r="T370" t="s">
        <v>32</v>
      </c>
      <c r="U370" t="s">
        <v>32</v>
      </c>
      <c r="W370" t="s">
        <v>399</v>
      </c>
      <c r="Z370" t="s">
        <v>31</v>
      </c>
      <c r="AA370">
        <v>2.9829055771848031E-3</v>
      </c>
      <c r="AC370" t="s">
        <v>33</v>
      </c>
      <c r="AD370" t="s">
        <v>33</v>
      </c>
      <c r="AE370" t="s">
        <v>43</v>
      </c>
      <c r="AF370">
        <v>1.52</v>
      </c>
      <c r="AG370">
        <v>1.52</v>
      </c>
      <c r="AH370" t="s">
        <v>244</v>
      </c>
      <c r="AI370" t="s">
        <v>244</v>
      </c>
      <c r="AJ370">
        <v>-1.67927861373E-3</v>
      </c>
      <c r="AK370">
        <v>0</v>
      </c>
      <c r="AL370">
        <v>1.67927861373E-3</v>
      </c>
      <c r="AM370" t="s">
        <v>43</v>
      </c>
      <c r="AN370" t="s">
        <v>33</v>
      </c>
      <c r="AO370" t="s">
        <v>33</v>
      </c>
      <c r="AP370" t="s">
        <v>31</v>
      </c>
    </row>
    <row r="371" spans="1:43" x14ac:dyDescent="0.2">
      <c r="A371">
        <v>369</v>
      </c>
      <c r="B371">
        <v>96</v>
      </c>
      <c r="C371">
        <v>6</v>
      </c>
      <c r="F371" t="s">
        <v>29</v>
      </c>
      <c r="G371" t="s">
        <v>398</v>
      </c>
      <c r="I371">
        <v>4.0477067909851574E-6</v>
      </c>
      <c r="J371">
        <v>2.3992445510976999</v>
      </c>
      <c r="K371">
        <v>2.3992445510976999</v>
      </c>
      <c r="L371" s="1"/>
      <c r="M371" s="1"/>
      <c r="N371" s="1">
        <v>43164</v>
      </c>
      <c r="R371">
        <v>-2.4313878536657216E-3</v>
      </c>
      <c r="S371">
        <v>-2.4313878536657216E-3</v>
      </c>
      <c r="T371" t="s">
        <v>32</v>
      </c>
      <c r="U371" t="s">
        <v>32</v>
      </c>
      <c r="W371" t="s">
        <v>399</v>
      </c>
      <c r="Z371" t="s">
        <v>31</v>
      </c>
      <c r="AA371">
        <v>2.957137724598503E-3</v>
      </c>
      <c r="AC371" t="s">
        <v>33</v>
      </c>
      <c r="AD371" t="s">
        <v>33</v>
      </c>
      <c r="AE371" t="s">
        <v>43</v>
      </c>
      <c r="AF371">
        <v>1.53</v>
      </c>
      <c r="AG371">
        <v>1.53</v>
      </c>
      <c r="AH371" t="s">
        <v>244</v>
      </c>
      <c r="AI371" t="s">
        <v>244</v>
      </c>
      <c r="AJ371">
        <v>-1.6647721526133999E-3</v>
      </c>
      <c r="AK371">
        <v>0</v>
      </c>
      <c r="AL371">
        <v>1.6647721526133999E-3</v>
      </c>
      <c r="AM371" t="s">
        <v>43</v>
      </c>
      <c r="AN371" t="s">
        <v>33</v>
      </c>
      <c r="AO371" t="s">
        <v>33</v>
      </c>
      <c r="AP371" t="s">
        <v>31</v>
      </c>
    </row>
    <row r="372" spans="1:43" x14ac:dyDescent="0.2">
      <c r="A372">
        <v>370</v>
      </c>
      <c r="B372">
        <v>110</v>
      </c>
      <c r="C372">
        <v>6</v>
      </c>
      <c r="D372">
        <v>600000000</v>
      </c>
      <c r="E372" t="s">
        <v>397</v>
      </c>
      <c r="F372" t="s">
        <v>29</v>
      </c>
      <c r="G372" t="s">
        <v>800</v>
      </c>
      <c r="H372">
        <v>3.2031043902320568E-2</v>
      </c>
      <c r="I372">
        <v>6.250890212738607E-6</v>
      </c>
      <c r="J372">
        <v>3.21</v>
      </c>
      <c r="K372">
        <v>3.2153374172454998</v>
      </c>
      <c r="L372" s="1">
        <v>44452</v>
      </c>
      <c r="M372" s="1">
        <v>43165</v>
      </c>
      <c r="N372" s="1">
        <v>43164</v>
      </c>
      <c r="R372">
        <v>8.9476952919579559E-4</v>
      </c>
      <c r="S372">
        <v>8.9476952919579559E-4</v>
      </c>
      <c r="T372" t="s">
        <v>39</v>
      </c>
      <c r="U372" t="s">
        <v>39</v>
      </c>
      <c r="V372">
        <v>622120615</v>
      </c>
      <c r="W372" t="s">
        <v>399</v>
      </c>
      <c r="X372" t="s">
        <v>400</v>
      </c>
      <c r="Y372">
        <v>600000000</v>
      </c>
      <c r="Z372" t="s">
        <v>31</v>
      </c>
      <c r="AA372">
        <v>4.5667199268438017E-3</v>
      </c>
      <c r="AB372">
        <v>101.35</v>
      </c>
      <c r="AC372" t="s">
        <v>33</v>
      </c>
      <c r="AD372" t="s">
        <v>33</v>
      </c>
      <c r="AE372" t="s">
        <v>43</v>
      </c>
      <c r="AF372">
        <v>4.4600000000000001E-2</v>
      </c>
      <c r="AG372">
        <v>4.46</v>
      </c>
      <c r="AH372" t="s">
        <v>244</v>
      </c>
      <c r="AI372" t="s">
        <v>244</v>
      </c>
      <c r="AJ372">
        <v>6.9860338431023752E-3</v>
      </c>
      <c r="AK372">
        <v>9.9785183496325751E-3</v>
      </c>
      <c r="AL372">
        <v>2.9924845065302003E-3</v>
      </c>
      <c r="AM372" t="s">
        <v>43</v>
      </c>
      <c r="AN372" t="s">
        <v>144</v>
      </c>
      <c r="AO372" t="s">
        <v>33</v>
      </c>
      <c r="AP372" t="s">
        <v>31</v>
      </c>
      <c r="AQ372">
        <v>4.4504191839361286E-4</v>
      </c>
    </row>
    <row r="373" spans="1:43" x14ac:dyDescent="0.2">
      <c r="A373">
        <v>371</v>
      </c>
      <c r="B373">
        <v>102</v>
      </c>
      <c r="C373">
        <v>6</v>
      </c>
      <c r="F373" t="s">
        <v>29</v>
      </c>
      <c r="G373" t="s">
        <v>1036</v>
      </c>
      <c r="I373">
        <v>7.5841878292891897E-7</v>
      </c>
      <c r="J373">
        <v>7.6039979446046999</v>
      </c>
      <c r="K373">
        <v>7.6039979446046999</v>
      </c>
      <c r="L373" s="1"/>
      <c r="M373" s="1"/>
      <c r="N373" s="1">
        <v>43164</v>
      </c>
      <c r="R373">
        <v>-1.8407209487297778E-3</v>
      </c>
      <c r="S373">
        <v>-1.8407209487297778E-3</v>
      </c>
      <c r="T373" t="s">
        <v>32</v>
      </c>
      <c r="U373" t="s">
        <v>32</v>
      </c>
      <c r="AA373">
        <v>5.5407886733251609E-4</v>
      </c>
      <c r="AC373" t="s">
        <v>34</v>
      </c>
      <c r="AD373" t="s">
        <v>34</v>
      </c>
      <c r="AF373">
        <v>2.41</v>
      </c>
      <c r="AG373">
        <v>2.41</v>
      </c>
      <c r="AH373" t="s">
        <v>244</v>
      </c>
      <c r="AI373" t="s">
        <v>244</v>
      </c>
      <c r="AJ373">
        <v>-4.1202268244531001E-4</v>
      </c>
      <c r="AK373">
        <v>0</v>
      </c>
      <c r="AL373">
        <v>4.1202268244531001E-4</v>
      </c>
      <c r="AN373" t="s">
        <v>34</v>
      </c>
      <c r="AO373" t="s">
        <v>34</v>
      </c>
    </row>
    <row r="374" spans="1:43" x14ac:dyDescent="0.2">
      <c r="A374">
        <v>372</v>
      </c>
      <c r="B374">
        <v>137</v>
      </c>
      <c r="C374">
        <v>6</v>
      </c>
      <c r="D374">
        <v>142000</v>
      </c>
      <c r="E374" t="s">
        <v>216</v>
      </c>
      <c r="F374" t="s">
        <v>29</v>
      </c>
      <c r="G374" t="s">
        <v>218</v>
      </c>
      <c r="H374">
        <v>0.18213243116878058</v>
      </c>
      <c r="I374">
        <v>-7.2293413469397481E-5</v>
      </c>
      <c r="J374">
        <v>2.93</v>
      </c>
      <c r="L374" s="1">
        <v>44256</v>
      </c>
      <c r="M374" s="1">
        <v>43165</v>
      </c>
      <c r="R374">
        <v>-1.1629982650868099E-3</v>
      </c>
      <c r="T374" t="s">
        <v>32</v>
      </c>
      <c r="V374">
        <v>3875504065</v>
      </c>
      <c r="W374" t="s">
        <v>240</v>
      </c>
      <c r="X374" t="s">
        <v>217</v>
      </c>
      <c r="Y374">
        <v>142000</v>
      </c>
      <c r="Z374" t="s">
        <v>31</v>
      </c>
      <c r="AA374">
        <v>-5.2815480777035552E-2</v>
      </c>
      <c r="AB374">
        <v>101.24</v>
      </c>
      <c r="AC374" t="s">
        <v>42</v>
      </c>
      <c r="AE374" t="s">
        <v>173</v>
      </c>
      <c r="AF374">
        <v>7.5814849139223289E-2</v>
      </c>
      <c r="AH374" t="s">
        <v>215</v>
      </c>
      <c r="AJ374">
        <v>6.2161239306751048E-2</v>
      </c>
      <c r="AK374">
        <v>6.2161239306751048E-2</v>
      </c>
      <c r="AL374">
        <v>0</v>
      </c>
      <c r="AN374" t="s">
        <v>138</v>
      </c>
      <c r="AQ374">
        <v>4.7127449803484878E-3</v>
      </c>
    </row>
    <row r="375" spans="1:43" x14ac:dyDescent="0.2">
      <c r="A375">
        <v>373</v>
      </c>
      <c r="B375">
        <v>140</v>
      </c>
      <c r="C375">
        <v>6</v>
      </c>
      <c r="D375">
        <v>40000</v>
      </c>
      <c r="E375" t="s">
        <v>216</v>
      </c>
      <c r="F375" t="s">
        <v>29</v>
      </c>
      <c r="G375" t="s">
        <v>219</v>
      </c>
      <c r="H375">
        <v>0.12812789116173989</v>
      </c>
      <c r="I375">
        <v>2.8774110858367102E-5</v>
      </c>
      <c r="J375">
        <v>7.55</v>
      </c>
      <c r="L375" s="1">
        <v>46082</v>
      </c>
      <c r="M375" s="1">
        <v>43165</v>
      </c>
      <c r="R375">
        <v>1.6955288580098222E-3</v>
      </c>
      <c r="T375" t="s">
        <v>32</v>
      </c>
      <c r="V375">
        <v>1058047728</v>
      </c>
      <c r="W375" t="s">
        <v>240</v>
      </c>
      <c r="X375" t="s">
        <v>217</v>
      </c>
      <c r="Y375">
        <v>40000</v>
      </c>
      <c r="Z375" t="s">
        <v>31</v>
      </c>
      <c r="AA375">
        <v>2.1021534687384619E-2</v>
      </c>
      <c r="AB375">
        <v>98.12</v>
      </c>
      <c r="AC375" t="s">
        <v>42</v>
      </c>
      <c r="AE375" t="s">
        <v>173</v>
      </c>
      <c r="AF375">
        <v>8.261484913922329E-2</v>
      </c>
      <c r="AH375" t="s">
        <v>215</v>
      </c>
      <c r="AJ375">
        <v>1.6970581610826475E-2</v>
      </c>
      <c r="AK375">
        <v>1.6970581610826475E-2</v>
      </c>
      <c r="AL375">
        <v>0</v>
      </c>
      <c r="AN375" t="s">
        <v>138</v>
      </c>
      <c r="AQ375">
        <v>1.4020220395833062E-3</v>
      </c>
    </row>
    <row r="376" spans="1:43" x14ac:dyDescent="0.2">
      <c r="A376">
        <v>374</v>
      </c>
      <c r="B376">
        <v>66</v>
      </c>
      <c r="C376">
        <v>6</v>
      </c>
      <c r="D376">
        <v>600000</v>
      </c>
      <c r="E376" t="s">
        <v>262</v>
      </c>
      <c r="F376" t="s">
        <v>29</v>
      </c>
      <c r="G376" t="s">
        <v>450</v>
      </c>
      <c r="H376">
        <v>4.357098871455202E-2</v>
      </c>
      <c r="I376">
        <v>2.147281898781837E-4</v>
      </c>
      <c r="J376">
        <v>7.45</v>
      </c>
      <c r="L376" s="1">
        <v>46481</v>
      </c>
      <c r="M376" s="1">
        <v>43165</v>
      </c>
      <c r="R376">
        <v>3.6715370979364205E-2</v>
      </c>
      <c r="T376" t="s">
        <v>30</v>
      </c>
      <c r="V376">
        <v>364627714</v>
      </c>
      <c r="W376" t="s">
        <v>263</v>
      </c>
      <c r="X376" t="s">
        <v>451</v>
      </c>
      <c r="Y376">
        <v>600000</v>
      </c>
      <c r="Z376" t="s">
        <v>31</v>
      </c>
      <c r="AA376">
        <v>0.15687421634336851</v>
      </c>
      <c r="AB376">
        <v>100.13</v>
      </c>
      <c r="AC376" t="s">
        <v>33</v>
      </c>
      <c r="AE376" t="s">
        <v>168</v>
      </c>
      <c r="AF376">
        <v>0</v>
      </c>
      <c r="AH376" t="s">
        <v>244</v>
      </c>
      <c r="AJ376">
        <v>5.8484548610136938E-3</v>
      </c>
      <c r="AK376">
        <v>5.8484548610136938E-3</v>
      </c>
      <c r="AL376">
        <v>0</v>
      </c>
      <c r="AN376" t="s">
        <v>144</v>
      </c>
      <c r="AQ376">
        <v>0</v>
      </c>
    </row>
    <row r="377" spans="1:43" x14ac:dyDescent="0.2">
      <c r="A377">
        <v>375</v>
      </c>
      <c r="B377">
        <v>0</v>
      </c>
      <c r="C377">
        <v>6</v>
      </c>
      <c r="D377">
        <v>0</v>
      </c>
      <c r="E377" t="s">
        <v>194</v>
      </c>
      <c r="F377" t="s">
        <v>29</v>
      </c>
      <c r="G377" t="s">
        <v>801</v>
      </c>
      <c r="H377">
        <v>0</v>
      </c>
      <c r="I377">
        <v>0</v>
      </c>
      <c r="J377">
        <v>0</v>
      </c>
      <c r="L377" s="1">
        <v>43188</v>
      </c>
      <c r="M377" s="1">
        <v>43165</v>
      </c>
      <c r="R377">
        <v>0</v>
      </c>
      <c r="T377" t="s">
        <v>39</v>
      </c>
      <c r="V377">
        <v>404070016</v>
      </c>
      <c r="W377" t="s">
        <v>172</v>
      </c>
      <c r="X377" t="s">
        <v>213</v>
      </c>
      <c r="Y377">
        <v>0</v>
      </c>
      <c r="Z377" t="s">
        <v>46</v>
      </c>
      <c r="AA377">
        <v>0</v>
      </c>
      <c r="AB377">
        <v>0</v>
      </c>
      <c r="AC377" t="s">
        <v>46</v>
      </c>
      <c r="AE377" t="s">
        <v>104</v>
      </c>
      <c r="AF377">
        <v>0</v>
      </c>
      <c r="AH377" t="s">
        <v>193</v>
      </c>
      <c r="AJ377">
        <v>6.4810905987938185E-3</v>
      </c>
      <c r="AK377">
        <v>6.4810905987938185E-3</v>
      </c>
      <c r="AL377">
        <v>0</v>
      </c>
      <c r="AN377" t="s">
        <v>46</v>
      </c>
      <c r="AQ377">
        <v>0</v>
      </c>
    </row>
    <row r="378" spans="1:43" x14ac:dyDescent="0.2">
      <c r="A378">
        <v>376</v>
      </c>
      <c r="B378">
        <v>66</v>
      </c>
      <c r="C378">
        <v>6</v>
      </c>
      <c r="D378">
        <v>0</v>
      </c>
      <c r="E378" t="s">
        <v>194</v>
      </c>
      <c r="F378" t="s">
        <v>29</v>
      </c>
      <c r="G378" t="s">
        <v>801</v>
      </c>
      <c r="H378">
        <v>0</v>
      </c>
      <c r="I378">
        <v>-2.1218314519627781E-4</v>
      </c>
      <c r="J378">
        <v>0</v>
      </c>
      <c r="L378" s="1">
        <v>43188</v>
      </c>
      <c r="M378" s="1">
        <v>43165</v>
      </c>
      <c r="R378">
        <v>3.6715370979364205E-2</v>
      </c>
      <c r="T378" t="s">
        <v>30</v>
      </c>
      <c r="V378">
        <v>-360306000</v>
      </c>
      <c r="W378" t="s">
        <v>172</v>
      </c>
      <c r="X378" t="s">
        <v>214</v>
      </c>
      <c r="Y378">
        <v>0</v>
      </c>
      <c r="Z378" t="s">
        <v>46</v>
      </c>
      <c r="AA378">
        <v>-0.15501488017395665</v>
      </c>
      <c r="AB378">
        <v>0</v>
      </c>
      <c r="AC378" t="s">
        <v>46</v>
      </c>
      <c r="AE378" t="s">
        <v>104</v>
      </c>
      <c r="AF378">
        <v>0</v>
      </c>
      <c r="AH378" t="s">
        <v>193</v>
      </c>
      <c r="AJ378">
        <v>-5.7791366268785593E-3</v>
      </c>
      <c r="AK378">
        <v>-5.7791366268785593E-3</v>
      </c>
      <c r="AL378">
        <v>0</v>
      </c>
      <c r="AN378" t="s">
        <v>46</v>
      </c>
      <c r="AQ378">
        <v>0</v>
      </c>
    </row>
    <row r="379" spans="1:43" x14ac:dyDescent="0.2">
      <c r="A379">
        <v>377</v>
      </c>
      <c r="B379">
        <v>0</v>
      </c>
      <c r="C379">
        <v>6</v>
      </c>
      <c r="D379">
        <v>0</v>
      </c>
      <c r="E379" t="s">
        <v>195</v>
      </c>
      <c r="F379" t="s">
        <v>29</v>
      </c>
      <c r="G379" t="s">
        <v>802</v>
      </c>
      <c r="H379">
        <v>0</v>
      </c>
      <c r="I379">
        <v>0</v>
      </c>
      <c r="J379">
        <v>0</v>
      </c>
      <c r="L379" s="1">
        <v>43315</v>
      </c>
      <c r="M379" s="1">
        <v>43165</v>
      </c>
      <c r="R379">
        <v>0</v>
      </c>
      <c r="T379" t="s">
        <v>39</v>
      </c>
      <c r="V379">
        <v>131476000</v>
      </c>
      <c r="W379" t="s">
        <v>191</v>
      </c>
      <c r="X379" t="s">
        <v>192</v>
      </c>
      <c r="Y379">
        <v>0</v>
      </c>
      <c r="Z379" t="s">
        <v>46</v>
      </c>
      <c r="AA379">
        <v>0</v>
      </c>
      <c r="AB379">
        <v>0</v>
      </c>
      <c r="AC379" t="s">
        <v>46</v>
      </c>
      <c r="AE379" t="s">
        <v>104</v>
      </c>
      <c r="AF379">
        <v>0</v>
      </c>
      <c r="AH379" t="s">
        <v>193</v>
      </c>
      <c r="AJ379">
        <v>2.1088124182097592E-3</v>
      </c>
      <c r="AK379">
        <v>2.1088124182097592E-3</v>
      </c>
      <c r="AL379">
        <v>0</v>
      </c>
      <c r="AN379" t="s">
        <v>46</v>
      </c>
      <c r="AQ379">
        <v>0</v>
      </c>
    </row>
    <row r="380" spans="1:43" x14ac:dyDescent="0.2">
      <c r="A380">
        <v>378</v>
      </c>
      <c r="B380">
        <v>66</v>
      </c>
      <c r="C380">
        <v>6</v>
      </c>
      <c r="D380">
        <v>0</v>
      </c>
      <c r="E380" t="s">
        <v>195</v>
      </c>
      <c r="F380" t="s">
        <v>29</v>
      </c>
      <c r="G380" t="s">
        <v>802</v>
      </c>
      <c r="H380">
        <v>0</v>
      </c>
      <c r="I380">
        <v>-7.0727715065425928E-5</v>
      </c>
      <c r="J380">
        <v>0</v>
      </c>
      <c r="L380" s="1">
        <v>43315</v>
      </c>
      <c r="M380" s="1">
        <v>43165</v>
      </c>
      <c r="R380">
        <v>3.6715370979364205E-2</v>
      </c>
      <c r="T380" t="s">
        <v>30</v>
      </c>
      <c r="V380">
        <v>-120102000</v>
      </c>
      <c r="W380" t="s">
        <v>191</v>
      </c>
      <c r="X380" t="s">
        <v>196</v>
      </c>
      <c r="Y380">
        <v>0</v>
      </c>
      <c r="Z380" t="s">
        <v>46</v>
      </c>
      <c r="AA380">
        <v>-5.1671626724652212E-2</v>
      </c>
      <c r="AB380">
        <v>0</v>
      </c>
      <c r="AC380" t="s">
        <v>46</v>
      </c>
      <c r="AE380" t="s">
        <v>104</v>
      </c>
      <c r="AF380">
        <v>0</v>
      </c>
      <c r="AH380" t="s">
        <v>193</v>
      </c>
      <c r="AJ380">
        <v>-1.9263788756261864E-3</v>
      </c>
      <c r="AK380">
        <v>-1.9263788756261864E-3</v>
      </c>
      <c r="AL380">
        <v>0</v>
      </c>
      <c r="AN380" t="s">
        <v>46</v>
      </c>
      <c r="AQ380">
        <v>0</v>
      </c>
    </row>
    <row r="381" spans="1:43" x14ac:dyDescent="0.2">
      <c r="A381">
        <v>379</v>
      </c>
      <c r="B381">
        <v>0</v>
      </c>
      <c r="C381">
        <v>6</v>
      </c>
      <c r="D381">
        <v>0</v>
      </c>
      <c r="E381" t="s">
        <v>195</v>
      </c>
      <c r="F381" t="s">
        <v>29</v>
      </c>
      <c r="G381" t="s">
        <v>803</v>
      </c>
      <c r="H381">
        <v>0</v>
      </c>
      <c r="I381">
        <v>0</v>
      </c>
      <c r="J381">
        <v>0</v>
      </c>
      <c r="L381" s="1">
        <v>43315</v>
      </c>
      <c r="M381" s="1">
        <v>43165</v>
      </c>
      <c r="R381">
        <v>0</v>
      </c>
      <c r="T381" t="s">
        <v>39</v>
      </c>
      <c r="V381">
        <v>-125850000</v>
      </c>
      <c r="W381" t="s">
        <v>191</v>
      </c>
      <c r="X381" t="s">
        <v>196</v>
      </c>
      <c r="Y381">
        <v>0</v>
      </c>
      <c r="Z381" t="s">
        <v>46</v>
      </c>
      <c r="AA381">
        <v>0</v>
      </c>
      <c r="AB381">
        <v>0</v>
      </c>
      <c r="AC381" t="s">
        <v>46</v>
      </c>
      <c r="AE381" t="s">
        <v>104</v>
      </c>
      <c r="AF381">
        <v>0</v>
      </c>
      <c r="AH381" t="s">
        <v>193</v>
      </c>
      <c r="AJ381">
        <v>-2.0185740578637788E-3</v>
      </c>
      <c r="AK381">
        <v>-2.0185740578637788E-3</v>
      </c>
      <c r="AL381">
        <v>0</v>
      </c>
      <c r="AN381" t="s">
        <v>46</v>
      </c>
      <c r="AQ381">
        <v>0</v>
      </c>
    </row>
    <row r="382" spans="1:43" x14ac:dyDescent="0.2">
      <c r="A382">
        <v>380</v>
      </c>
      <c r="B382">
        <v>66</v>
      </c>
      <c r="C382">
        <v>6</v>
      </c>
      <c r="D382">
        <v>0</v>
      </c>
      <c r="E382" t="s">
        <v>195</v>
      </c>
      <c r="F382" t="s">
        <v>29</v>
      </c>
      <c r="G382" t="s">
        <v>803</v>
      </c>
      <c r="H382">
        <v>0</v>
      </c>
      <c r="I382">
        <v>7.0727715065425928E-5</v>
      </c>
      <c r="J382">
        <v>0</v>
      </c>
      <c r="L382" s="1">
        <v>43315</v>
      </c>
      <c r="M382" s="1">
        <v>43165</v>
      </c>
      <c r="R382">
        <v>3.6715370979364205E-2</v>
      </c>
      <c r="T382" t="s">
        <v>30</v>
      </c>
      <c r="V382">
        <v>120102000</v>
      </c>
      <c r="W382" t="s">
        <v>191</v>
      </c>
      <c r="X382" t="s">
        <v>192</v>
      </c>
      <c r="Y382">
        <v>0</v>
      </c>
      <c r="Z382" t="s">
        <v>46</v>
      </c>
      <c r="AA382">
        <v>5.1671626724652212E-2</v>
      </c>
      <c r="AB382">
        <v>0</v>
      </c>
      <c r="AC382" t="s">
        <v>46</v>
      </c>
      <c r="AE382" t="s">
        <v>104</v>
      </c>
      <c r="AF382">
        <v>0</v>
      </c>
      <c r="AH382" t="s">
        <v>193</v>
      </c>
      <c r="AJ382">
        <v>1.9263788756261864E-3</v>
      </c>
      <c r="AK382">
        <v>1.9263788756261864E-3</v>
      </c>
      <c r="AL382">
        <v>0</v>
      </c>
      <c r="AN382" t="s">
        <v>46</v>
      </c>
      <c r="AQ382">
        <v>0</v>
      </c>
    </row>
    <row r="383" spans="1:43" x14ac:dyDescent="0.2">
      <c r="A383">
        <v>381</v>
      </c>
      <c r="B383">
        <v>66</v>
      </c>
      <c r="C383">
        <v>6</v>
      </c>
      <c r="D383">
        <v>800000</v>
      </c>
      <c r="E383" t="s">
        <v>455</v>
      </c>
      <c r="F383" t="s">
        <v>29</v>
      </c>
      <c r="G383" t="s">
        <v>456</v>
      </c>
      <c r="H383">
        <v>6.9901522403546912E-2</v>
      </c>
      <c r="I383">
        <v>2.8643530436033064E-4</v>
      </c>
      <c r="J383">
        <v>8.9600000000000009</v>
      </c>
      <c r="L383" s="1">
        <v>47330</v>
      </c>
      <c r="M383" s="1">
        <v>43165</v>
      </c>
      <c r="R383">
        <v>3.6715370979364205E-2</v>
      </c>
      <c r="T383" t="s">
        <v>30</v>
      </c>
      <c r="V383">
        <v>486392822</v>
      </c>
      <c r="W383" t="s">
        <v>457</v>
      </c>
      <c r="X383" t="s">
        <v>458</v>
      </c>
      <c r="Y383">
        <v>800000</v>
      </c>
      <c r="Z383" t="s">
        <v>31</v>
      </c>
      <c r="AA383">
        <v>0.20926136400671266</v>
      </c>
      <c r="AB383">
        <v>101.5605</v>
      </c>
      <c r="AC383" t="s">
        <v>34</v>
      </c>
      <c r="AE383" t="s">
        <v>166</v>
      </c>
      <c r="AF383">
        <v>0</v>
      </c>
      <c r="AH383" t="s">
        <v>244</v>
      </c>
      <c r="AJ383">
        <v>7.8015091968244308E-3</v>
      </c>
      <c r="AK383">
        <v>7.8015091968244308E-3</v>
      </c>
      <c r="AL383">
        <v>0</v>
      </c>
      <c r="AN383" t="s">
        <v>50</v>
      </c>
      <c r="AQ383">
        <v>0</v>
      </c>
    </row>
    <row r="384" spans="1:43" x14ac:dyDescent="0.2">
      <c r="A384">
        <v>382</v>
      </c>
      <c r="B384">
        <v>145</v>
      </c>
      <c r="C384">
        <v>6</v>
      </c>
      <c r="D384">
        <v>2</v>
      </c>
      <c r="E384" t="s">
        <v>197</v>
      </c>
      <c r="F384" t="s">
        <v>29</v>
      </c>
      <c r="G384" t="s">
        <v>198</v>
      </c>
      <c r="H384">
        <v>1.8178909023997001E-3</v>
      </c>
      <c r="I384">
        <v>-3.7713713084281035E-7</v>
      </c>
      <c r="J384">
        <v>0.83</v>
      </c>
      <c r="L384" s="1">
        <v>43468</v>
      </c>
      <c r="M384" s="1">
        <v>43165</v>
      </c>
      <c r="N384" s="1"/>
      <c r="R384">
        <v>-1.7219065136765173E-4</v>
      </c>
      <c r="T384" t="s">
        <v>39</v>
      </c>
      <c r="V384">
        <v>136552060</v>
      </c>
      <c r="W384" t="s">
        <v>197</v>
      </c>
      <c r="X384" t="s">
        <v>199</v>
      </c>
      <c r="Y384">
        <v>140000000</v>
      </c>
      <c r="Z384" t="s">
        <v>31</v>
      </c>
      <c r="AA384">
        <v>-2.7552549988204064E-4</v>
      </c>
      <c r="AB384">
        <v>97.537184999999994</v>
      </c>
      <c r="AC384" t="s">
        <v>48</v>
      </c>
      <c r="AE384" t="s">
        <v>41</v>
      </c>
      <c r="AF384">
        <v>0.03</v>
      </c>
      <c r="AH384" t="s">
        <v>200</v>
      </c>
      <c r="AJ384">
        <v>2.1902300028912051E-3</v>
      </c>
      <c r="AK384">
        <v>2.1902300028912051E-3</v>
      </c>
      <c r="AL384">
        <v>0</v>
      </c>
      <c r="AQ384">
        <v>6.5706900086736153E-5</v>
      </c>
    </row>
    <row r="385" spans="1:43" x14ac:dyDescent="0.2">
      <c r="A385">
        <v>383</v>
      </c>
      <c r="B385">
        <v>145</v>
      </c>
      <c r="C385">
        <v>6</v>
      </c>
      <c r="D385">
        <v>1</v>
      </c>
      <c r="E385" t="s">
        <v>241</v>
      </c>
      <c r="F385" t="s">
        <v>29</v>
      </c>
      <c r="G385" t="s">
        <v>198</v>
      </c>
      <c r="H385">
        <v>6.4924675275886514E-4</v>
      </c>
      <c r="I385">
        <v>-1.3469183283841171E-7</v>
      </c>
      <c r="J385">
        <v>0.83</v>
      </c>
      <c r="L385" s="1">
        <v>43468</v>
      </c>
      <c r="M385" s="1">
        <v>43165</v>
      </c>
      <c r="N385" s="1"/>
      <c r="R385">
        <v>-1.7219065136765173E-4</v>
      </c>
      <c r="T385" t="s">
        <v>39</v>
      </c>
      <c r="V385">
        <v>48768593</v>
      </c>
      <c r="W385" t="s">
        <v>242</v>
      </c>
      <c r="X385" t="s">
        <v>243</v>
      </c>
      <c r="Y385">
        <v>50000000</v>
      </c>
      <c r="Z385" t="s">
        <v>31</v>
      </c>
      <c r="AA385">
        <v>-9.8401964531833426E-5</v>
      </c>
      <c r="AB385">
        <v>97.537186000000005</v>
      </c>
      <c r="AC385" t="s">
        <v>48</v>
      </c>
      <c r="AE385" t="s">
        <v>41</v>
      </c>
      <c r="AF385">
        <v>0.03</v>
      </c>
      <c r="AH385" t="s">
        <v>200</v>
      </c>
      <c r="AJ385">
        <v>7.822250033239339E-4</v>
      </c>
      <c r="AK385">
        <v>7.822250033239339E-4</v>
      </c>
      <c r="AL385">
        <v>0</v>
      </c>
      <c r="AQ385">
        <v>2.3466750099718018E-5</v>
      </c>
    </row>
    <row r="386" spans="1:43" x14ac:dyDescent="0.2">
      <c r="A386">
        <v>384</v>
      </c>
      <c r="B386">
        <v>147</v>
      </c>
      <c r="C386">
        <v>6</v>
      </c>
      <c r="D386">
        <v>1</v>
      </c>
      <c r="E386" t="s">
        <v>275</v>
      </c>
      <c r="F386" t="s">
        <v>29</v>
      </c>
      <c r="G386" t="s">
        <v>198</v>
      </c>
      <c r="H386">
        <v>2.0840266063915573E-5</v>
      </c>
      <c r="I386">
        <v>-6.9808078408400275E-8</v>
      </c>
      <c r="J386">
        <v>0.02</v>
      </c>
      <c r="L386" s="1">
        <v>43173</v>
      </c>
      <c r="M386" s="1">
        <v>43165</v>
      </c>
      <c r="N386" s="1"/>
      <c r="R386">
        <v>-6.6993461786240161E-5</v>
      </c>
      <c r="T386" t="s">
        <v>39</v>
      </c>
      <c r="V386">
        <v>64965352</v>
      </c>
      <c r="W386" t="s">
        <v>276</v>
      </c>
      <c r="X386" t="s">
        <v>440</v>
      </c>
      <c r="Y386">
        <v>65000000</v>
      </c>
      <c r="Z386" t="s">
        <v>31</v>
      </c>
      <c r="AA386">
        <v>-5.0999766732848725E-5</v>
      </c>
      <c r="AB386">
        <v>99.946695000000005</v>
      </c>
      <c r="AC386" t="s">
        <v>48</v>
      </c>
      <c r="AE386" t="s">
        <v>41</v>
      </c>
      <c r="AF386">
        <v>2.4E-2</v>
      </c>
      <c r="AH386" t="s">
        <v>200</v>
      </c>
      <c r="AJ386">
        <v>1.0420133031957787E-3</v>
      </c>
      <c r="AK386">
        <v>1.0420133031957787E-3</v>
      </c>
      <c r="AL386">
        <v>0</v>
      </c>
      <c r="AQ386">
        <v>2.5008319276698689E-5</v>
      </c>
    </row>
    <row r="387" spans="1:43" x14ac:dyDescent="0.2">
      <c r="A387">
        <v>385</v>
      </c>
      <c r="B387">
        <v>147</v>
      </c>
      <c r="C387">
        <v>6</v>
      </c>
      <c r="D387">
        <v>1</v>
      </c>
      <c r="E387" t="s">
        <v>275</v>
      </c>
      <c r="F387" t="s">
        <v>29</v>
      </c>
      <c r="G387" t="s">
        <v>198</v>
      </c>
      <c r="H387">
        <v>1.9229096549656899E-5</v>
      </c>
      <c r="I387">
        <v>-3.2205593622084048E-8</v>
      </c>
      <c r="J387">
        <v>0.04</v>
      </c>
      <c r="L387" s="1">
        <v>43178</v>
      </c>
      <c r="M387" s="1">
        <v>43165</v>
      </c>
      <c r="N387" s="1"/>
      <c r="R387">
        <v>-6.6993461786240161E-5</v>
      </c>
      <c r="T387" t="s">
        <v>39</v>
      </c>
      <c r="V387">
        <v>29971427</v>
      </c>
      <c r="W387" t="s">
        <v>276</v>
      </c>
      <c r="X387" t="s">
        <v>440</v>
      </c>
      <c r="Y387">
        <v>30000000</v>
      </c>
      <c r="Z387" t="s">
        <v>31</v>
      </c>
      <c r="AA387">
        <v>-2.352847692798777E-5</v>
      </c>
      <c r="AB387">
        <v>99.904756000000006</v>
      </c>
      <c r="AC387" t="s">
        <v>48</v>
      </c>
      <c r="AE387" t="s">
        <v>41</v>
      </c>
      <c r="AF387">
        <v>2.64E-2</v>
      </c>
      <c r="AH387" t="s">
        <v>200</v>
      </c>
      <c r="AJ387">
        <v>4.8072741374142249E-4</v>
      </c>
      <c r="AK387">
        <v>4.8072741374142249E-4</v>
      </c>
      <c r="AL387">
        <v>0</v>
      </c>
      <c r="AQ387">
        <v>1.2691203722773554E-5</v>
      </c>
    </row>
    <row r="388" spans="1:43" x14ac:dyDescent="0.2">
      <c r="A388">
        <v>386</v>
      </c>
      <c r="B388">
        <v>147</v>
      </c>
      <c r="C388">
        <v>6</v>
      </c>
      <c r="D388">
        <v>2</v>
      </c>
      <c r="E388" t="s">
        <v>241</v>
      </c>
      <c r="F388" t="s">
        <v>29</v>
      </c>
      <c r="G388" t="s">
        <v>198</v>
      </c>
      <c r="H388">
        <v>2.636382250432115E-5</v>
      </c>
      <c r="I388">
        <v>-2.9436728924707626E-8</v>
      </c>
      <c r="J388">
        <v>0.06</v>
      </c>
      <c r="L388" s="1">
        <v>43188</v>
      </c>
      <c r="M388" s="1">
        <v>43165</v>
      </c>
      <c r="R388">
        <v>-6.6993461786240161E-5</v>
      </c>
      <c r="T388" t="s">
        <v>39</v>
      </c>
      <c r="V388">
        <v>27394644</v>
      </c>
      <c r="W388" t="s">
        <v>242</v>
      </c>
      <c r="X388" t="s">
        <v>243</v>
      </c>
      <c r="Y388">
        <v>27438750</v>
      </c>
      <c r="Z388" t="s">
        <v>31</v>
      </c>
      <c r="AA388">
        <v>-2.1505624316934879E-5</v>
      </c>
      <c r="AB388">
        <v>99.839256000000006</v>
      </c>
      <c r="AC388" t="s">
        <v>48</v>
      </c>
      <c r="AE388" t="s">
        <v>41</v>
      </c>
      <c r="AF388">
        <v>2.52E-2</v>
      </c>
      <c r="AH388" t="s">
        <v>200</v>
      </c>
      <c r="AJ388">
        <v>4.3939704173868587E-4</v>
      </c>
      <c r="AK388">
        <v>4.3939704173868587E-4</v>
      </c>
      <c r="AL388">
        <v>0</v>
      </c>
      <c r="AQ388">
        <v>1.1072805451814884E-5</v>
      </c>
    </row>
    <row r="389" spans="1:43" x14ac:dyDescent="0.2">
      <c r="A389">
        <v>387</v>
      </c>
      <c r="B389">
        <v>148</v>
      </c>
      <c r="C389">
        <v>6</v>
      </c>
      <c r="D389">
        <v>1</v>
      </c>
      <c r="E389" t="s">
        <v>211</v>
      </c>
      <c r="F389" t="s">
        <v>29</v>
      </c>
      <c r="G389" t="s">
        <v>198</v>
      </c>
      <c r="H389">
        <v>3.5110868071251596E-4</v>
      </c>
      <c r="I389">
        <v>-1.0580949946597161E-9</v>
      </c>
      <c r="J389">
        <v>0.34</v>
      </c>
      <c r="L389" s="1">
        <v>43290</v>
      </c>
      <c r="M389" s="1">
        <v>43165</v>
      </c>
      <c r="R389">
        <v>-1.0246180682694793E-6</v>
      </c>
      <c r="T389" t="s">
        <v>39</v>
      </c>
      <c r="V389">
        <v>64382996</v>
      </c>
      <c r="W389" t="s">
        <v>209</v>
      </c>
      <c r="X389" t="s">
        <v>212</v>
      </c>
      <c r="Y389">
        <v>65000000</v>
      </c>
      <c r="Z389" t="s">
        <v>31</v>
      </c>
      <c r="AA389">
        <v>-7.7301365600040365E-7</v>
      </c>
      <c r="AB389">
        <v>99.050763000000003</v>
      </c>
      <c r="AC389" t="s">
        <v>48</v>
      </c>
      <c r="AE389" t="s">
        <v>41</v>
      </c>
      <c r="AF389">
        <v>2.76E-2</v>
      </c>
      <c r="AH389" t="s">
        <v>200</v>
      </c>
      <c r="AJ389">
        <v>1.0326725903309292E-3</v>
      </c>
      <c r="AK389">
        <v>1.0326725903309292E-3</v>
      </c>
      <c r="AL389">
        <v>0</v>
      </c>
      <c r="AQ389">
        <v>2.8501763493133645E-5</v>
      </c>
    </row>
    <row r="390" spans="1:43" x14ac:dyDescent="0.2">
      <c r="A390">
        <v>388</v>
      </c>
      <c r="B390">
        <v>152</v>
      </c>
      <c r="C390">
        <v>6</v>
      </c>
      <c r="D390">
        <v>1</v>
      </c>
      <c r="E390" t="s">
        <v>275</v>
      </c>
      <c r="F390" t="s">
        <v>29</v>
      </c>
      <c r="G390" t="s">
        <v>198</v>
      </c>
      <c r="H390">
        <v>9.6118648095827207E-4</v>
      </c>
      <c r="I390">
        <v>-8.6107852598925177E-8</v>
      </c>
      <c r="J390">
        <v>0.61</v>
      </c>
      <c r="L390" s="1">
        <v>43389</v>
      </c>
      <c r="M390" s="1">
        <v>43165</v>
      </c>
      <c r="R390">
        <v>-5.4646825695028326E-5</v>
      </c>
      <c r="T390" t="s">
        <v>39</v>
      </c>
      <c r="V390">
        <v>98239547</v>
      </c>
      <c r="W390" t="s">
        <v>276</v>
      </c>
      <c r="X390" t="s">
        <v>440</v>
      </c>
      <c r="Y390">
        <v>100000000</v>
      </c>
      <c r="Z390" t="s">
        <v>31</v>
      </c>
      <c r="AA390">
        <v>-6.2907911183575301E-5</v>
      </c>
      <c r="AB390">
        <v>98.239547000000002</v>
      </c>
      <c r="AC390" t="s">
        <v>48</v>
      </c>
      <c r="AE390" t="s">
        <v>41</v>
      </c>
      <c r="AF390">
        <v>2.8799999999999999E-2</v>
      </c>
      <c r="AH390" t="s">
        <v>200</v>
      </c>
      <c r="AJ390">
        <v>1.5757155425545444E-3</v>
      </c>
      <c r="AK390">
        <v>1.5757155425545444E-3</v>
      </c>
      <c r="AL390">
        <v>0</v>
      </c>
      <c r="AQ390">
        <v>4.5380607625570874E-5</v>
      </c>
    </row>
    <row r="391" spans="1:43" x14ac:dyDescent="0.2">
      <c r="A391">
        <v>389</v>
      </c>
      <c r="B391">
        <v>106</v>
      </c>
      <c r="C391">
        <v>6</v>
      </c>
      <c r="D391">
        <v>635000000</v>
      </c>
      <c r="E391" t="s">
        <v>248</v>
      </c>
      <c r="F391" t="s">
        <v>29</v>
      </c>
      <c r="G391" t="s">
        <v>249</v>
      </c>
      <c r="H391">
        <v>2.432911990211593E-2</v>
      </c>
      <c r="I391">
        <v>1.3274351401993797E-5</v>
      </c>
      <c r="J391">
        <v>2.3199999999999998</v>
      </c>
      <c r="L391" s="1">
        <v>44096</v>
      </c>
      <c r="M391" s="1">
        <v>43165</v>
      </c>
      <c r="R391">
        <v>1.2658285781207894E-3</v>
      </c>
      <c r="T391" t="s">
        <v>39</v>
      </c>
      <c r="V391">
        <v>653803056</v>
      </c>
      <c r="W391" t="s">
        <v>191</v>
      </c>
      <c r="X391" t="s">
        <v>250</v>
      </c>
      <c r="Y391">
        <v>635000000</v>
      </c>
      <c r="Z391" t="s">
        <v>31</v>
      </c>
      <c r="AA391">
        <v>9.6978579050828358E-3</v>
      </c>
      <c r="AB391">
        <v>100</v>
      </c>
      <c r="AC391" t="s">
        <v>42</v>
      </c>
      <c r="AE391" t="s">
        <v>41</v>
      </c>
      <c r="AF391">
        <v>0</v>
      </c>
      <c r="AH391" t="s">
        <v>244</v>
      </c>
      <c r="AJ391">
        <v>1.0486689612981005E-2</v>
      </c>
      <c r="AK391">
        <v>1.0486689612981005E-2</v>
      </c>
      <c r="AL391">
        <v>0</v>
      </c>
      <c r="AN391" t="s">
        <v>138</v>
      </c>
      <c r="AQ391">
        <v>0</v>
      </c>
    </row>
    <row r="392" spans="1:43" x14ac:dyDescent="0.2">
      <c r="A392">
        <v>390</v>
      </c>
      <c r="B392">
        <v>102</v>
      </c>
      <c r="C392">
        <v>6</v>
      </c>
      <c r="D392">
        <v>30000</v>
      </c>
      <c r="E392" t="s">
        <v>403</v>
      </c>
      <c r="F392" t="s">
        <v>29</v>
      </c>
      <c r="G392" t="s">
        <v>804</v>
      </c>
      <c r="H392">
        <v>0.12130576805120841</v>
      </c>
      <c r="I392">
        <v>-2.626941981807232E-5</v>
      </c>
      <c r="J392">
        <v>8.5</v>
      </c>
      <c r="L392" s="1">
        <v>48366</v>
      </c>
      <c r="M392" s="1">
        <v>43165</v>
      </c>
      <c r="N392" s="1"/>
      <c r="R392">
        <v>-1.8407209487297778E-3</v>
      </c>
      <c r="T392" t="s">
        <v>32</v>
      </c>
      <c r="V392">
        <v>889756273</v>
      </c>
      <c r="W392" t="s">
        <v>197</v>
      </c>
      <c r="X392" t="s">
        <v>405</v>
      </c>
      <c r="Y392">
        <v>30000</v>
      </c>
      <c r="Z392" t="s">
        <v>31</v>
      </c>
      <c r="AA392">
        <v>-1.9191679723528192E-2</v>
      </c>
      <c r="AB392">
        <v>109.05</v>
      </c>
      <c r="AC392" t="s">
        <v>33</v>
      </c>
      <c r="AE392" t="s">
        <v>41</v>
      </c>
      <c r="AF392">
        <v>8.941484913922329E-2</v>
      </c>
      <c r="AH392" t="s">
        <v>244</v>
      </c>
      <c r="AJ392">
        <v>1.427126682955393E-2</v>
      </c>
      <c r="AK392">
        <v>1.427126682955393E-2</v>
      </c>
      <c r="AL392">
        <v>0</v>
      </c>
      <c r="AN392" t="s">
        <v>144</v>
      </c>
      <c r="AQ392">
        <v>1.2760631705901661E-3</v>
      </c>
    </row>
    <row r="393" spans="1:43" x14ac:dyDescent="0.2">
      <c r="A393">
        <v>391</v>
      </c>
      <c r="B393">
        <v>99</v>
      </c>
      <c r="C393">
        <v>6</v>
      </c>
      <c r="D393">
        <v>20000</v>
      </c>
      <c r="E393" t="s">
        <v>403</v>
      </c>
      <c r="F393" t="s">
        <v>29</v>
      </c>
      <c r="G393" t="s">
        <v>805</v>
      </c>
      <c r="H393">
        <v>1.4351095364186675E-2</v>
      </c>
      <c r="I393">
        <v>-1.1253297542504475E-5</v>
      </c>
      <c r="J393">
        <v>3.09</v>
      </c>
      <c r="L393" s="1">
        <v>45413</v>
      </c>
      <c r="M393" s="1">
        <v>43165</v>
      </c>
      <c r="N393" s="1"/>
      <c r="R393">
        <v>-2.4229989783995497E-3</v>
      </c>
      <c r="T393" t="s">
        <v>32</v>
      </c>
      <c r="V393">
        <v>289557690</v>
      </c>
      <c r="W393" t="s">
        <v>197</v>
      </c>
      <c r="X393" t="s">
        <v>806</v>
      </c>
      <c r="Y393">
        <v>20000</v>
      </c>
      <c r="Z393" t="s">
        <v>31</v>
      </c>
      <c r="AA393">
        <v>-8.2213343029652365E-3</v>
      </c>
      <c r="AB393">
        <v>114.78</v>
      </c>
      <c r="AC393" t="s">
        <v>34</v>
      </c>
      <c r="AE393" t="s">
        <v>41</v>
      </c>
      <c r="AF393">
        <v>8.2414849139223284E-2</v>
      </c>
      <c r="AH393" t="s">
        <v>244</v>
      </c>
      <c r="AJ393">
        <v>4.644367431775623E-3</v>
      </c>
      <c r="AK393">
        <v>4.644367431775623E-3</v>
      </c>
      <c r="AL393">
        <v>0</v>
      </c>
      <c r="AN393" t="s">
        <v>50</v>
      </c>
      <c r="AQ393">
        <v>3.8276484123690984E-4</v>
      </c>
    </row>
    <row r="394" spans="1:43" x14ac:dyDescent="0.2">
      <c r="A394">
        <v>392</v>
      </c>
      <c r="B394">
        <v>102</v>
      </c>
      <c r="C394">
        <v>6</v>
      </c>
      <c r="D394">
        <v>10000</v>
      </c>
      <c r="E394" t="s">
        <v>403</v>
      </c>
      <c r="F394" t="s">
        <v>29</v>
      </c>
      <c r="G394" t="s">
        <v>807</v>
      </c>
      <c r="H394">
        <v>2.111078482278736E-2</v>
      </c>
      <c r="I394">
        <v>-6.2878744122057192E-6</v>
      </c>
      <c r="J394">
        <v>6.18</v>
      </c>
      <c r="L394" s="1">
        <v>47818</v>
      </c>
      <c r="M394" s="1">
        <v>43165</v>
      </c>
      <c r="R394">
        <v>-1.8407209487297778E-3</v>
      </c>
      <c r="T394" t="s">
        <v>32</v>
      </c>
      <c r="V394">
        <v>212972945</v>
      </c>
      <c r="W394" t="s">
        <v>197</v>
      </c>
      <c r="X394" t="s">
        <v>806</v>
      </c>
      <c r="Y394">
        <v>10000</v>
      </c>
      <c r="Z394" t="s">
        <v>31</v>
      </c>
      <c r="AA394">
        <v>-4.5937395152442885E-3</v>
      </c>
      <c r="AB394">
        <v>114.14</v>
      </c>
      <c r="AC394" t="s">
        <v>34</v>
      </c>
      <c r="AE394" t="s">
        <v>41</v>
      </c>
      <c r="AF394">
        <v>8.7314849139223286E-2</v>
      </c>
      <c r="AH394" t="s">
        <v>244</v>
      </c>
      <c r="AJ394">
        <v>3.4159845991565308E-3</v>
      </c>
      <c r="AK394">
        <v>3.4159845991565308E-3</v>
      </c>
      <c r="AL394">
        <v>0</v>
      </c>
      <c r="AN394" t="s">
        <v>50</v>
      </c>
      <c r="AQ394">
        <v>2.9826617993726262E-4</v>
      </c>
    </row>
    <row r="395" spans="1:43" x14ac:dyDescent="0.2">
      <c r="A395">
        <v>393</v>
      </c>
      <c r="B395">
        <v>102</v>
      </c>
      <c r="C395">
        <v>6</v>
      </c>
      <c r="D395">
        <v>10000</v>
      </c>
      <c r="E395" t="s">
        <v>403</v>
      </c>
      <c r="F395" t="s">
        <v>29</v>
      </c>
      <c r="G395" t="s">
        <v>808</v>
      </c>
      <c r="H395">
        <v>2.111078482278736E-2</v>
      </c>
      <c r="I395">
        <v>-6.2878744122057192E-6</v>
      </c>
      <c r="J395">
        <v>6.18</v>
      </c>
      <c r="L395" s="1">
        <v>47818</v>
      </c>
      <c r="M395" s="1">
        <v>43165</v>
      </c>
      <c r="R395">
        <v>-1.8407209487297778E-3</v>
      </c>
      <c r="T395" t="s">
        <v>32</v>
      </c>
      <c r="V395">
        <v>212972945</v>
      </c>
      <c r="W395" t="s">
        <v>197</v>
      </c>
      <c r="X395" t="s">
        <v>806</v>
      </c>
      <c r="Y395">
        <v>10000</v>
      </c>
      <c r="Z395" t="s">
        <v>31</v>
      </c>
      <c r="AA395">
        <v>-4.5937395152442885E-3</v>
      </c>
      <c r="AB395">
        <v>114.14</v>
      </c>
      <c r="AC395" t="s">
        <v>34</v>
      </c>
      <c r="AE395" t="s">
        <v>41</v>
      </c>
      <c r="AF395">
        <v>8.7314849139223286E-2</v>
      </c>
      <c r="AH395" t="s">
        <v>244</v>
      </c>
      <c r="AJ395">
        <v>3.4159845991565308E-3</v>
      </c>
      <c r="AK395">
        <v>3.4159845991565308E-3</v>
      </c>
      <c r="AL395">
        <v>0</v>
      </c>
      <c r="AN395" t="s">
        <v>50</v>
      </c>
      <c r="AQ395">
        <v>2.9826617993726262E-4</v>
      </c>
    </row>
    <row r="396" spans="1:43" x14ac:dyDescent="0.2">
      <c r="A396">
        <v>394</v>
      </c>
      <c r="B396">
        <v>96</v>
      </c>
      <c r="C396">
        <v>6</v>
      </c>
      <c r="D396">
        <v>30000</v>
      </c>
      <c r="E396" t="s">
        <v>306</v>
      </c>
      <c r="F396" t="s">
        <v>29</v>
      </c>
      <c r="G396" t="s">
        <v>809</v>
      </c>
      <c r="H396">
        <v>1.034731921861088E-2</v>
      </c>
      <c r="I396">
        <v>-1.22723640322597E-5</v>
      </c>
      <c r="J396">
        <v>2.0499999999999998</v>
      </c>
      <c r="L396" s="1">
        <v>44562</v>
      </c>
      <c r="M396" s="1">
        <v>43165</v>
      </c>
      <c r="R396">
        <v>-2.4313878536657216E-3</v>
      </c>
      <c r="T396" t="s">
        <v>32</v>
      </c>
      <c r="V396">
        <v>314689693</v>
      </c>
      <c r="W396" t="s">
        <v>261</v>
      </c>
      <c r="X396" t="s">
        <v>810</v>
      </c>
      <c r="Y396">
        <v>30000</v>
      </c>
      <c r="Z396" t="s">
        <v>31</v>
      </c>
      <c r="AA396">
        <v>-8.9658348600314998E-3</v>
      </c>
      <c r="AB396">
        <v>109.74</v>
      </c>
      <c r="AC396" t="s">
        <v>33</v>
      </c>
      <c r="AE396" t="s">
        <v>41</v>
      </c>
      <c r="AF396">
        <v>8.2114849139223289E-2</v>
      </c>
      <c r="AH396" t="s">
        <v>244</v>
      </c>
      <c r="AJ396">
        <v>5.0474727895662838E-3</v>
      </c>
      <c r="AK396">
        <v>5.0474727895662838E-3</v>
      </c>
      <c r="AL396">
        <v>0</v>
      </c>
      <c r="AN396" t="s">
        <v>144</v>
      </c>
      <c r="AQ396">
        <v>4.1447246664956994E-4</v>
      </c>
    </row>
    <row r="397" spans="1:43" x14ac:dyDescent="0.2">
      <c r="A397">
        <v>395</v>
      </c>
      <c r="B397">
        <v>99</v>
      </c>
      <c r="C397">
        <v>6</v>
      </c>
      <c r="D397">
        <v>15000</v>
      </c>
      <c r="E397" t="s">
        <v>306</v>
      </c>
      <c r="F397" t="s">
        <v>29</v>
      </c>
      <c r="G397" t="s">
        <v>811</v>
      </c>
      <c r="H397">
        <v>1.8430898184062544E-2</v>
      </c>
      <c r="I397">
        <v>-1.1305834802777128E-5</v>
      </c>
      <c r="J397">
        <v>3.95</v>
      </c>
      <c r="L397" s="1">
        <v>46113</v>
      </c>
      <c r="M397" s="1">
        <v>43165</v>
      </c>
      <c r="R397">
        <v>-2.4229989783995497E-3</v>
      </c>
      <c r="T397" t="s">
        <v>32</v>
      </c>
      <c r="V397">
        <v>290909522</v>
      </c>
      <c r="W397" t="s">
        <v>261</v>
      </c>
      <c r="X397" t="s">
        <v>810</v>
      </c>
      <c r="Y397">
        <v>15000</v>
      </c>
      <c r="Z397" t="s">
        <v>31</v>
      </c>
      <c r="AA397">
        <v>-8.259716508574922E-3</v>
      </c>
      <c r="AB397">
        <v>109.33</v>
      </c>
      <c r="AC397" t="s">
        <v>33</v>
      </c>
      <c r="AE397" t="s">
        <v>41</v>
      </c>
      <c r="AF397">
        <v>8.6214849139223282E-2</v>
      </c>
      <c r="AH397" t="s">
        <v>244</v>
      </c>
      <c r="AJ397">
        <v>4.6660501731803907E-3</v>
      </c>
      <c r="AK397">
        <v>4.6660501731803907E-3</v>
      </c>
      <c r="AL397">
        <v>0</v>
      </c>
      <c r="AN397" t="s">
        <v>144</v>
      </c>
      <c r="AQ397">
        <v>4.0228281175679406E-4</v>
      </c>
    </row>
    <row r="398" spans="1:43" x14ac:dyDescent="0.2">
      <c r="A398">
        <v>396</v>
      </c>
      <c r="B398">
        <v>102</v>
      </c>
      <c r="C398">
        <v>6</v>
      </c>
      <c r="D398">
        <v>15000</v>
      </c>
      <c r="E398" t="s">
        <v>812</v>
      </c>
      <c r="F398" t="s">
        <v>29</v>
      </c>
      <c r="G398" t="s">
        <v>813</v>
      </c>
      <c r="H398">
        <v>3.9000094020929146E-2</v>
      </c>
      <c r="I398">
        <v>-1.2888382417729844E-5</v>
      </c>
      <c r="J398">
        <v>5.57</v>
      </c>
      <c r="L398" s="1">
        <v>47392</v>
      </c>
      <c r="M398" s="1">
        <v>43165</v>
      </c>
      <c r="R398">
        <v>-1.8407209487297778E-3</v>
      </c>
      <c r="T398" t="s">
        <v>32</v>
      </c>
      <c r="V398">
        <v>436534921</v>
      </c>
      <c r="W398" t="s">
        <v>242</v>
      </c>
      <c r="X398" t="s">
        <v>814</v>
      </c>
      <c r="Y398">
        <v>15000</v>
      </c>
      <c r="Z398" t="s">
        <v>31</v>
      </c>
      <c r="AA398">
        <v>-9.4158801080660437E-3</v>
      </c>
      <c r="AB398">
        <v>121.99</v>
      </c>
      <c r="AC398" t="s">
        <v>33</v>
      </c>
      <c r="AE398" t="s">
        <v>41</v>
      </c>
      <c r="AF398">
        <v>8.6314849139223285E-2</v>
      </c>
      <c r="AH398" t="s">
        <v>244</v>
      </c>
      <c r="AJ398">
        <v>7.0018122120160042E-3</v>
      </c>
      <c r="AK398">
        <v>7.0018122120160042E-3</v>
      </c>
      <c r="AL398">
        <v>0</v>
      </c>
      <c r="AN398" t="s">
        <v>144</v>
      </c>
      <c r="AQ398">
        <v>6.0436036478133271E-4</v>
      </c>
    </row>
    <row r="399" spans="1:43" x14ac:dyDescent="0.2">
      <c r="A399">
        <v>397</v>
      </c>
      <c r="B399">
        <v>95</v>
      </c>
      <c r="C399">
        <v>6</v>
      </c>
      <c r="D399">
        <v>5000</v>
      </c>
      <c r="E399" t="s">
        <v>358</v>
      </c>
      <c r="F399" t="s">
        <v>29</v>
      </c>
      <c r="G399" t="s">
        <v>359</v>
      </c>
      <c r="H399">
        <v>7.4519826329161017E-4</v>
      </c>
      <c r="I399">
        <v>-1.4953534024117487E-6</v>
      </c>
      <c r="J399">
        <v>1.4</v>
      </c>
      <c r="L399" s="1">
        <v>44044</v>
      </c>
      <c r="M399" s="1">
        <v>43165</v>
      </c>
      <c r="R399">
        <v>-2.8093124561633931E-3</v>
      </c>
      <c r="T399" t="s">
        <v>32</v>
      </c>
      <c r="V399">
        <v>33185803</v>
      </c>
      <c r="W399" t="s">
        <v>360</v>
      </c>
      <c r="X399" t="s">
        <v>361</v>
      </c>
      <c r="Y399">
        <v>5000</v>
      </c>
      <c r="Z399" t="s">
        <v>31</v>
      </c>
      <c r="AA399">
        <v>-1.0924620250969961E-3</v>
      </c>
      <c r="AB399">
        <v>107.47</v>
      </c>
      <c r="AC399" t="s">
        <v>42</v>
      </c>
      <c r="AE399" t="s">
        <v>41</v>
      </c>
      <c r="AF399">
        <v>8.0814849139223294E-2</v>
      </c>
      <c r="AH399" t="s">
        <v>244</v>
      </c>
      <c r="AJ399">
        <v>5.3228447377972157E-4</v>
      </c>
      <c r="AK399">
        <v>5.3228447377972157E-4</v>
      </c>
      <c r="AL399">
        <v>0</v>
      </c>
      <c r="AN399" t="s">
        <v>138</v>
      </c>
      <c r="AQ399">
        <v>4.3016489447659054E-5</v>
      </c>
    </row>
    <row r="400" spans="1:43" x14ac:dyDescent="0.2">
      <c r="A400">
        <v>398</v>
      </c>
      <c r="B400">
        <v>99</v>
      </c>
      <c r="C400">
        <v>6</v>
      </c>
      <c r="D400">
        <v>25000</v>
      </c>
      <c r="E400" t="s">
        <v>311</v>
      </c>
      <c r="F400" t="s">
        <v>29</v>
      </c>
      <c r="G400" t="s">
        <v>815</v>
      </c>
      <c r="H400">
        <v>1.9296000466886669E-2</v>
      </c>
      <c r="I400">
        <v>-1.4341775895234244E-5</v>
      </c>
      <c r="J400">
        <v>3.26</v>
      </c>
      <c r="L400" s="1">
        <v>45474</v>
      </c>
      <c r="M400" s="1">
        <v>43165</v>
      </c>
      <c r="R400">
        <v>-2.4229989783995497E-3</v>
      </c>
      <c r="T400" t="s">
        <v>32</v>
      </c>
      <c r="V400">
        <v>369027077</v>
      </c>
      <c r="W400" t="s">
        <v>251</v>
      </c>
      <c r="X400" t="s">
        <v>313</v>
      </c>
      <c r="Y400">
        <v>25000</v>
      </c>
      <c r="Z400" t="s">
        <v>31</v>
      </c>
      <c r="AA400">
        <v>-1.0477687423404618E-2</v>
      </c>
      <c r="AB400">
        <v>115.48</v>
      </c>
      <c r="AC400" t="s">
        <v>33</v>
      </c>
      <c r="AE400" t="s">
        <v>41</v>
      </c>
      <c r="AF400">
        <v>8.2914849139223284E-2</v>
      </c>
      <c r="AH400" t="s">
        <v>244</v>
      </c>
      <c r="AJ400">
        <v>5.9190185481247451E-3</v>
      </c>
      <c r="AK400">
        <v>5.9190185481247451E-3</v>
      </c>
      <c r="AL400">
        <v>0</v>
      </c>
      <c r="AN400" t="s">
        <v>144</v>
      </c>
      <c r="AQ400">
        <v>4.9077452997002763E-4</v>
      </c>
    </row>
    <row r="401" spans="1:43" x14ac:dyDescent="0.2">
      <c r="A401">
        <v>399</v>
      </c>
      <c r="B401">
        <v>99</v>
      </c>
      <c r="C401">
        <v>6</v>
      </c>
      <c r="D401">
        <v>15000</v>
      </c>
      <c r="E401" t="s">
        <v>311</v>
      </c>
      <c r="F401" t="s">
        <v>29</v>
      </c>
      <c r="G401" t="s">
        <v>816</v>
      </c>
      <c r="H401">
        <v>2.1014160627943368E-2</v>
      </c>
      <c r="I401">
        <v>-1.1519748808468512E-5</v>
      </c>
      <c r="J401">
        <v>4.42</v>
      </c>
      <c r="L401" s="1">
        <v>46478</v>
      </c>
      <c r="M401" s="1">
        <v>43165</v>
      </c>
      <c r="N401" s="1"/>
      <c r="R401">
        <v>-2.4229989783995497E-3</v>
      </c>
      <c r="T401" t="s">
        <v>32</v>
      </c>
      <c r="V401">
        <v>296413726</v>
      </c>
      <c r="W401" t="s">
        <v>251</v>
      </c>
      <c r="X401" t="s">
        <v>817</v>
      </c>
      <c r="Y401">
        <v>15000</v>
      </c>
      <c r="Z401" t="s">
        <v>31</v>
      </c>
      <c r="AA401">
        <v>-8.4159959054568301E-3</v>
      </c>
      <c r="AB401">
        <v>110.91</v>
      </c>
      <c r="AC401" t="s">
        <v>33</v>
      </c>
      <c r="AE401" t="s">
        <v>41</v>
      </c>
      <c r="AF401">
        <v>8.5314849139223284E-2</v>
      </c>
      <c r="AH401" t="s">
        <v>244</v>
      </c>
      <c r="AJ401">
        <v>4.7543349836975946E-3</v>
      </c>
      <c r="AK401">
        <v>4.7543349836975946E-3</v>
      </c>
      <c r="AL401">
        <v>0</v>
      </c>
      <c r="AN401" t="s">
        <v>144</v>
      </c>
      <c r="AQ401">
        <v>4.0561537189149184E-4</v>
      </c>
    </row>
    <row r="402" spans="1:43" x14ac:dyDescent="0.2">
      <c r="A402">
        <v>400</v>
      </c>
      <c r="B402">
        <v>90</v>
      </c>
      <c r="C402">
        <v>6</v>
      </c>
      <c r="D402">
        <v>31000</v>
      </c>
      <c r="E402" t="s">
        <v>245</v>
      </c>
      <c r="F402" t="s">
        <v>29</v>
      </c>
      <c r="G402" t="s">
        <v>818</v>
      </c>
      <c r="H402">
        <v>6.0463362344183348E-2</v>
      </c>
      <c r="I402">
        <v>1.5347856255575541E-6</v>
      </c>
      <c r="J402">
        <v>5.09</v>
      </c>
      <c r="L402" s="1">
        <v>46919</v>
      </c>
      <c r="M402" s="1">
        <v>43165</v>
      </c>
      <c r="N402" s="1"/>
      <c r="R402">
        <v>1.2920318241017373E-4</v>
      </c>
      <c r="T402" t="s">
        <v>32</v>
      </c>
      <c r="V402">
        <v>740598869</v>
      </c>
      <c r="W402" t="s">
        <v>201</v>
      </c>
      <c r="X402" t="s">
        <v>819</v>
      </c>
      <c r="Y402">
        <v>31000</v>
      </c>
      <c r="Z402" t="s">
        <v>31</v>
      </c>
      <c r="AA402">
        <v>1.1212700689229341E-3</v>
      </c>
      <c r="AB402">
        <v>109.98</v>
      </c>
      <c r="AC402" t="s">
        <v>138</v>
      </c>
      <c r="AE402" t="s">
        <v>41</v>
      </c>
      <c r="AF402">
        <v>8.5414849139223287E-2</v>
      </c>
      <c r="AH402" t="s">
        <v>244</v>
      </c>
      <c r="AJ402">
        <v>1.1878853112806158E-2</v>
      </c>
      <c r="AK402">
        <v>1.1878853112806158E-2</v>
      </c>
      <c r="AL402">
        <v>0</v>
      </c>
      <c r="AN402" t="s">
        <v>142</v>
      </c>
      <c r="AQ402">
        <v>1.014630446577331E-3</v>
      </c>
    </row>
    <row r="403" spans="1:43" x14ac:dyDescent="0.2">
      <c r="A403">
        <v>401</v>
      </c>
      <c r="B403">
        <v>102</v>
      </c>
      <c r="C403">
        <v>6</v>
      </c>
      <c r="D403">
        <v>20000</v>
      </c>
      <c r="E403" t="s">
        <v>379</v>
      </c>
      <c r="F403" t="s">
        <v>29</v>
      </c>
      <c r="G403" t="s">
        <v>820</v>
      </c>
      <c r="H403">
        <v>4.7609513919305714E-2</v>
      </c>
      <c r="I403">
        <v>-1.335912037044329E-5</v>
      </c>
      <c r="J403">
        <v>6.56</v>
      </c>
      <c r="L403" s="1">
        <v>48670</v>
      </c>
      <c r="M403" s="1">
        <v>43165</v>
      </c>
      <c r="R403">
        <v>-1.8407209487297778E-3</v>
      </c>
      <c r="T403" t="s">
        <v>32</v>
      </c>
      <c r="V403">
        <v>452479013</v>
      </c>
      <c r="W403" t="s">
        <v>276</v>
      </c>
      <c r="X403" t="s">
        <v>821</v>
      </c>
      <c r="Y403">
        <v>20000</v>
      </c>
      <c r="Z403" t="s">
        <v>31</v>
      </c>
      <c r="AA403">
        <v>-9.7597876661602891E-3</v>
      </c>
      <c r="AB403">
        <v>106.73</v>
      </c>
      <c r="AC403" t="s">
        <v>34</v>
      </c>
      <c r="AE403" t="s">
        <v>41</v>
      </c>
      <c r="AF403">
        <v>8.9614849139223282E-2</v>
      </c>
      <c r="AH403" t="s">
        <v>244</v>
      </c>
      <c r="AJ403">
        <v>7.2575478535527012E-3</v>
      </c>
      <c r="AK403">
        <v>7.2575478535527012E-3</v>
      </c>
      <c r="AL403">
        <v>0</v>
      </c>
      <c r="AN403" t="s">
        <v>50</v>
      </c>
      <c r="AQ403">
        <v>6.5038405601681906E-4</v>
      </c>
    </row>
    <row r="404" spans="1:43" x14ac:dyDescent="0.2">
      <c r="A404">
        <v>402</v>
      </c>
      <c r="B404">
        <v>102</v>
      </c>
      <c r="C404">
        <v>6</v>
      </c>
      <c r="D404">
        <v>20000</v>
      </c>
      <c r="E404" t="s">
        <v>316</v>
      </c>
      <c r="F404" t="s">
        <v>29</v>
      </c>
      <c r="G404" t="s">
        <v>822</v>
      </c>
      <c r="H404">
        <v>7.3918973911670072E-2</v>
      </c>
      <c r="I404">
        <v>-1.8871595532291405E-5</v>
      </c>
      <c r="J404">
        <v>7.21</v>
      </c>
      <c r="L404" s="1">
        <v>46266</v>
      </c>
      <c r="M404" s="1">
        <v>43165</v>
      </c>
      <c r="R404">
        <v>-1.8407209487297778E-3</v>
      </c>
      <c r="T404" t="s">
        <v>32</v>
      </c>
      <c r="V404">
        <v>639188860</v>
      </c>
      <c r="W404" t="s">
        <v>191</v>
      </c>
      <c r="X404" t="s">
        <v>250</v>
      </c>
      <c r="Y404">
        <v>20000</v>
      </c>
      <c r="Z404" t="s">
        <v>31</v>
      </c>
      <c r="AA404">
        <v>-1.3787042874793081E-2</v>
      </c>
      <c r="AB404">
        <v>118.49</v>
      </c>
      <c r="AC404" t="s">
        <v>33</v>
      </c>
      <c r="AE404" t="s">
        <v>41</v>
      </c>
      <c r="AF404">
        <v>8.891484913922329E-2</v>
      </c>
      <c r="AH404" t="s">
        <v>244</v>
      </c>
      <c r="AJ404">
        <v>1.0252284869857154E-2</v>
      </c>
      <c r="AK404">
        <v>1.0252284869857154E-2</v>
      </c>
      <c r="AL404">
        <v>0</v>
      </c>
      <c r="AN404" t="s">
        <v>144</v>
      </c>
      <c r="AQ404">
        <v>9.1158036253569032E-4</v>
      </c>
    </row>
    <row r="405" spans="1:43" x14ac:dyDescent="0.2">
      <c r="A405">
        <v>403</v>
      </c>
      <c r="B405">
        <v>123</v>
      </c>
      <c r="C405">
        <v>7</v>
      </c>
      <c r="F405" t="s">
        <v>49</v>
      </c>
      <c r="G405" t="s">
        <v>981</v>
      </c>
      <c r="I405">
        <v>3.4069705314254784E-5</v>
      </c>
      <c r="J405">
        <v>1.9835400581267</v>
      </c>
      <c r="K405">
        <v>1.9835400581267</v>
      </c>
      <c r="L405" s="1"/>
      <c r="M405" s="1"/>
      <c r="N405" s="1">
        <v>43164</v>
      </c>
      <c r="R405">
        <v>-1.309528310656647E-3</v>
      </c>
      <c r="S405">
        <v>-1.309528310656647E-3</v>
      </c>
      <c r="T405" t="s">
        <v>32</v>
      </c>
      <c r="U405" t="s">
        <v>32</v>
      </c>
      <c r="W405" t="s">
        <v>982</v>
      </c>
      <c r="Z405" t="s">
        <v>31</v>
      </c>
      <c r="AA405">
        <v>1.4248147261297086E-2</v>
      </c>
      <c r="AC405" t="s">
        <v>142</v>
      </c>
      <c r="AD405" t="s">
        <v>142</v>
      </c>
      <c r="AE405" t="s">
        <v>35</v>
      </c>
      <c r="AF405">
        <v>4.09</v>
      </c>
      <c r="AG405">
        <v>4.09</v>
      </c>
      <c r="AH405" t="s">
        <v>244</v>
      </c>
      <c r="AI405" t="s">
        <v>244</v>
      </c>
      <c r="AJ405">
        <v>-2.6016776450729001E-2</v>
      </c>
      <c r="AK405">
        <v>0</v>
      </c>
      <c r="AL405">
        <v>2.6016776450729001E-2</v>
      </c>
      <c r="AM405" t="s">
        <v>35</v>
      </c>
      <c r="AN405" t="s">
        <v>142</v>
      </c>
      <c r="AO405" t="s">
        <v>142</v>
      </c>
      <c r="AP405" t="s">
        <v>31</v>
      </c>
    </row>
    <row r="406" spans="1:43" x14ac:dyDescent="0.2">
      <c r="A406">
        <v>404</v>
      </c>
      <c r="B406">
        <v>123</v>
      </c>
      <c r="C406">
        <v>7</v>
      </c>
      <c r="F406" t="s">
        <v>49</v>
      </c>
      <c r="G406" t="s">
        <v>983</v>
      </c>
      <c r="I406">
        <v>1.0469039460071382E-5</v>
      </c>
      <c r="J406">
        <v>1.1109662752260001</v>
      </c>
      <c r="K406">
        <v>1.1109662752260001</v>
      </c>
      <c r="L406" s="1"/>
      <c r="M406" s="1"/>
      <c r="N406" s="1">
        <v>43164</v>
      </c>
      <c r="R406">
        <v>-1.309528310656647E-3</v>
      </c>
      <c r="S406">
        <v>-1.309528310656647E-3</v>
      </c>
      <c r="T406" t="s">
        <v>32</v>
      </c>
      <c r="U406" t="s">
        <v>32</v>
      </c>
      <c r="AA406">
        <v>4.3782126829555144E-3</v>
      </c>
      <c r="AC406" t="s">
        <v>142</v>
      </c>
      <c r="AD406" t="s">
        <v>142</v>
      </c>
      <c r="AF406">
        <v>3.87</v>
      </c>
      <c r="AG406">
        <v>3.87</v>
      </c>
      <c r="AH406" t="s">
        <v>244</v>
      </c>
      <c r="AI406" t="s">
        <v>244</v>
      </c>
      <c r="AJ406">
        <v>-7.9945117450891997E-3</v>
      </c>
      <c r="AK406">
        <v>0</v>
      </c>
      <c r="AL406">
        <v>7.9945117450891997E-3</v>
      </c>
      <c r="AN406" t="s">
        <v>142</v>
      </c>
      <c r="AO406" t="s">
        <v>142</v>
      </c>
    </row>
    <row r="407" spans="1:43" x14ac:dyDescent="0.2">
      <c r="A407">
        <v>405</v>
      </c>
      <c r="B407">
        <v>125</v>
      </c>
      <c r="C407">
        <v>7</v>
      </c>
      <c r="F407" t="s">
        <v>49</v>
      </c>
      <c r="G407" t="s">
        <v>984</v>
      </c>
      <c r="I407">
        <v>3.1430541232057045E-5</v>
      </c>
      <c r="J407">
        <v>4.3425795998404002</v>
      </c>
      <c r="K407">
        <v>4.3425795998404002</v>
      </c>
      <c r="L407" s="1"/>
      <c r="M407" s="1"/>
      <c r="N407" s="1">
        <v>43164</v>
      </c>
      <c r="R407">
        <v>-2.3519489473039345E-3</v>
      </c>
      <c r="S407">
        <v>-2.3519489473039345E-3</v>
      </c>
      <c r="T407" t="s">
        <v>32</v>
      </c>
      <c r="U407" t="s">
        <v>32</v>
      </c>
      <c r="W407" t="s">
        <v>982</v>
      </c>
      <c r="Z407" t="s">
        <v>31</v>
      </c>
      <c r="AA407">
        <v>1.3144433620599813E-2</v>
      </c>
      <c r="AC407" t="s">
        <v>142</v>
      </c>
      <c r="AD407" t="s">
        <v>142</v>
      </c>
      <c r="AE407" t="s">
        <v>35</v>
      </c>
      <c r="AF407">
        <v>4.37</v>
      </c>
      <c r="AG407">
        <v>4.37</v>
      </c>
      <c r="AH407" t="s">
        <v>244</v>
      </c>
      <c r="AI407" t="s">
        <v>244</v>
      </c>
      <c r="AJ407">
        <v>-1.3363615425448E-2</v>
      </c>
      <c r="AK407">
        <v>0</v>
      </c>
      <c r="AL407">
        <v>1.3363615425448E-2</v>
      </c>
      <c r="AM407" t="s">
        <v>35</v>
      </c>
      <c r="AN407" t="s">
        <v>142</v>
      </c>
      <c r="AO407" t="s">
        <v>142</v>
      </c>
      <c r="AP407" t="s">
        <v>31</v>
      </c>
    </row>
    <row r="408" spans="1:43" x14ac:dyDescent="0.2">
      <c r="A408">
        <v>406</v>
      </c>
      <c r="B408">
        <v>102</v>
      </c>
      <c r="C408">
        <v>7</v>
      </c>
      <c r="D408">
        <v>100000</v>
      </c>
      <c r="E408" t="s">
        <v>465</v>
      </c>
      <c r="F408" t="s">
        <v>49</v>
      </c>
      <c r="G408" t="s">
        <v>466</v>
      </c>
      <c r="H408">
        <v>0.15796614122606839</v>
      </c>
      <c r="I408">
        <v>-5.8417397167306735E-6</v>
      </c>
      <c r="J408">
        <v>7.91</v>
      </c>
      <c r="L408" s="1">
        <v>48458</v>
      </c>
      <c r="M408" s="1">
        <v>43165</v>
      </c>
      <c r="N408" s="1"/>
      <c r="R408">
        <v>-2.9251940194709343E-4</v>
      </c>
      <c r="T408" t="s">
        <v>32</v>
      </c>
      <c r="V408">
        <v>2948490365</v>
      </c>
      <c r="W408" t="s">
        <v>467</v>
      </c>
      <c r="X408" t="s">
        <v>468</v>
      </c>
      <c r="Y408">
        <v>100000</v>
      </c>
      <c r="Z408" t="s">
        <v>31</v>
      </c>
      <c r="AA408">
        <v>-2.4430492420878503E-3</v>
      </c>
      <c r="AB408">
        <v>109.33</v>
      </c>
      <c r="AC408" t="s">
        <v>34</v>
      </c>
      <c r="AE408" t="s">
        <v>35</v>
      </c>
      <c r="AF408">
        <v>9.1214849139223286E-2</v>
      </c>
      <c r="AH408" t="s">
        <v>244</v>
      </c>
      <c r="AJ408">
        <v>1.9970435047543412E-2</v>
      </c>
      <c r="AK408">
        <v>1.9970435047543412E-2</v>
      </c>
      <c r="AL408">
        <v>0</v>
      </c>
      <c r="AN408" t="s">
        <v>50</v>
      </c>
      <c r="AQ408">
        <v>1.8216002201063297E-3</v>
      </c>
    </row>
    <row r="409" spans="1:43" x14ac:dyDescent="0.2">
      <c r="A409">
        <v>407</v>
      </c>
      <c r="B409">
        <v>90</v>
      </c>
      <c r="C409">
        <v>7</v>
      </c>
      <c r="D409">
        <v>70000</v>
      </c>
      <c r="E409" t="s">
        <v>864</v>
      </c>
      <c r="F409" t="s">
        <v>49</v>
      </c>
      <c r="G409" t="s">
        <v>865</v>
      </c>
      <c r="H409">
        <v>7.8332451217324961E-2</v>
      </c>
      <c r="I409">
        <v>-8.4177577204520183E-6</v>
      </c>
      <c r="J409">
        <v>5.49</v>
      </c>
      <c r="L409" s="1">
        <v>45823</v>
      </c>
      <c r="M409" s="1">
        <v>43165</v>
      </c>
      <c r="N409" s="1"/>
      <c r="R409">
        <v>-5.8996608898484774E-4</v>
      </c>
      <c r="T409" t="s">
        <v>32</v>
      </c>
      <c r="V409">
        <v>2106597476</v>
      </c>
      <c r="W409" t="s">
        <v>866</v>
      </c>
      <c r="X409" t="s">
        <v>867</v>
      </c>
      <c r="Y409">
        <v>70000</v>
      </c>
      <c r="Z409" t="s">
        <v>31</v>
      </c>
      <c r="AA409">
        <v>-3.5203548285678578E-3</v>
      </c>
      <c r="AB409">
        <v>110.48</v>
      </c>
      <c r="AC409" t="s">
        <v>51</v>
      </c>
      <c r="AE409" t="s">
        <v>464</v>
      </c>
      <c r="AF409">
        <v>9.4514849139223284E-2</v>
      </c>
      <c r="AH409" t="s">
        <v>244</v>
      </c>
      <c r="AJ409">
        <v>1.4268206050514563E-2</v>
      </c>
      <c r="AK409">
        <v>1.4268206050514563E-2</v>
      </c>
      <c r="AL409">
        <v>0</v>
      </c>
      <c r="AN409" t="s">
        <v>145</v>
      </c>
      <c r="AQ409">
        <v>1.3485573423517368E-3</v>
      </c>
    </row>
    <row r="410" spans="1:43" x14ac:dyDescent="0.2">
      <c r="A410">
        <v>408</v>
      </c>
      <c r="B410">
        <v>98</v>
      </c>
      <c r="C410">
        <v>7</v>
      </c>
      <c r="D410">
        <v>20000</v>
      </c>
      <c r="E410" t="s">
        <v>923</v>
      </c>
      <c r="F410" t="s">
        <v>49</v>
      </c>
      <c r="G410" t="s">
        <v>471</v>
      </c>
      <c r="H410">
        <v>1.3856213562429259E-2</v>
      </c>
      <c r="I410">
        <v>-5.5921744226626298E-6</v>
      </c>
      <c r="J410">
        <v>3.69</v>
      </c>
      <c r="L410" s="1">
        <v>45656</v>
      </c>
      <c r="M410" s="1">
        <v>43165</v>
      </c>
      <c r="N410" s="1"/>
      <c r="R410">
        <v>-1.4892325040064822E-3</v>
      </c>
      <c r="T410" t="s">
        <v>32</v>
      </c>
      <c r="V410">
        <v>554409150</v>
      </c>
      <c r="W410" t="s">
        <v>472</v>
      </c>
      <c r="X410" t="s">
        <v>924</v>
      </c>
      <c r="Y410">
        <v>20000</v>
      </c>
      <c r="Z410" t="s">
        <v>31</v>
      </c>
      <c r="AA410">
        <v>-2.3386795967272069E-3</v>
      </c>
      <c r="AB410">
        <v>113.47</v>
      </c>
      <c r="AC410" t="s">
        <v>42</v>
      </c>
      <c r="AE410" t="s">
        <v>464</v>
      </c>
      <c r="AF410">
        <v>8.5814849139223284E-2</v>
      </c>
      <c r="AH410" t="s">
        <v>244</v>
      </c>
      <c r="AJ410">
        <v>3.7550714261325906E-3</v>
      </c>
      <c r="AK410">
        <v>3.7550714261325906E-3</v>
      </c>
      <c r="AL410">
        <v>0</v>
      </c>
      <c r="AN410" t="s">
        <v>138</v>
      </c>
      <c r="AQ410">
        <v>3.2224088794057627E-4</v>
      </c>
    </row>
    <row r="411" spans="1:43" x14ac:dyDescent="0.2">
      <c r="A411">
        <v>409</v>
      </c>
      <c r="B411">
        <v>102</v>
      </c>
      <c r="C411">
        <v>7</v>
      </c>
      <c r="D411">
        <v>8500</v>
      </c>
      <c r="E411" t="s">
        <v>367</v>
      </c>
      <c r="F411" t="s">
        <v>49</v>
      </c>
      <c r="G411" t="s">
        <v>481</v>
      </c>
      <c r="H411">
        <v>1.3979448903708287E-2</v>
      </c>
      <c r="I411">
        <v>-5.1437233117769799E-7</v>
      </c>
      <c r="J411">
        <v>7.95</v>
      </c>
      <c r="L411" s="1">
        <v>48533</v>
      </c>
      <c r="M411" s="1">
        <v>43165</v>
      </c>
      <c r="R411">
        <v>-2.9251940194709343E-4</v>
      </c>
      <c r="T411" t="s">
        <v>32</v>
      </c>
      <c r="V411">
        <v>259618185</v>
      </c>
      <c r="W411" t="s">
        <v>369</v>
      </c>
      <c r="X411" t="s">
        <v>370</v>
      </c>
      <c r="Y411">
        <v>8500</v>
      </c>
      <c r="Z411" t="s">
        <v>31</v>
      </c>
      <c r="AA411">
        <v>-2.1511347556886907E-4</v>
      </c>
      <c r="AB411">
        <v>111.97</v>
      </c>
      <c r="AC411" t="s">
        <v>34</v>
      </c>
      <c r="AE411" t="s">
        <v>168</v>
      </c>
      <c r="AF411">
        <v>9.0114849139223283E-2</v>
      </c>
      <c r="AH411" t="s">
        <v>244</v>
      </c>
      <c r="AJ411">
        <v>1.7584212457494701E-3</v>
      </c>
      <c r="AK411">
        <v>1.7584212457494701E-3</v>
      </c>
      <c r="AL411">
        <v>0</v>
      </c>
      <c r="AN411" t="s">
        <v>50</v>
      </c>
      <c r="AQ411">
        <v>1.5845986528391855E-4</v>
      </c>
    </row>
    <row r="412" spans="1:43" x14ac:dyDescent="0.2">
      <c r="A412">
        <v>410</v>
      </c>
      <c r="B412">
        <v>102</v>
      </c>
      <c r="C412">
        <v>7</v>
      </c>
      <c r="D412">
        <v>25000</v>
      </c>
      <c r="E412" t="s">
        <v>367</v>
      </c>
      <c r="F412" t="s">
        <v>49</v>
      </c>
      <c r="G412" t="s">
        <v>482</v>
      </c>
      <c r="H412">
        <v>3.5969563626279226E-2</v>
      </c>
      <c r="I412">
        <v>-1.3403560815614172E-6</v>
      </c>
      <c r="J412">
        <v>7.85</v>
      </c>
      <c r="L412" s="1">
        <v>46341</v>
      </c>
      <c r="M412" s="1">
        <v>43165</v>
      </c>
      <c r="R412">
        <v>-2.9251940194709343E-4</v>
      </c>
      <c r="T412" t="s">
        <v>32</v>
      </c>
      <c r="V412">
        <v>676515419</v>
      </c>
      <c r="W412" t="s">
        <v>369</v>
      </c>
      <c r="X412" t="s">
        <v>370</v>
      </c>
      <c r="Y412">
        <v>25000</v>
      </c>
      <c r="Z412" t="s">
        <v>31</v>
      </c>
      <c r="AA412">
        <v>-5.6054464388548015E-4</v>
      </c>
      <c r="AB412">
        <v>99.68</v>
      </c>
      <c r="AC412" t="s">
        <v>34</v>
      </c>
      <c r="AE412" t="s">
        <v>168</v>
      </c>
      <c r="AF412">
        <v>8.941484913922329E-2</v>
      </c>
      <c r="AH412" t="s">
        <v>244</v>
      </c>
      <c r="AJ412">
        <v>4.5821100160865257E-3</v>
      </c>
      <c r="AK412">
        <v>4.5821100160865257E-3</v>
      </c>
      <c r="AL412">
        <v>0</v>
      </c>
      <c r="AN412" t="s">
        <v>50</v>
      </c>
      <c r="AQ412">
        <v>4.0970867582770072E-4</v>
      </c>
    </row>
    <row r="413" spans="1:43" x14ac:dyDescent="0.2">
      <c r="A413">
        <v>411</v>
      </c>
      <c r="B413">
        <v>90</v>
      </c>
      <c r="C413">
        <v>7</v>
      </c>
      <c r="D413">
        <v>120000</v>
      </c>
      <c r="E413" t="s">
        <v>868</v>
      </c>
      <c r="F413" t="s">
        <v>49</v>
      </c>
      <c r="G413" t="s">
        <v>869</v>
      </c>
      <c r="H413">
        <v>0.12320271270064739</v>
      </c>
      <c r="I413">
        <v>-1.3072917727396543E-5</v>
      </c>
      <c r="J413">
        <v>5.56</v>
      </c>
      <c r="L413" s="1">
        <v>47102</v>
      </c>
      <c r="M413" s="1">
        <v>43165</v>
      </c>
      <c r="R413">
        <v>-5.8996608898484774E-4</v>
      </c>
      <c r="T413" t="s">
        <v>32</v>
      </c>
      <c r="V413">
        <v>3271580913</v>
      </c>
      <c r="W413" t="s">
        <v>870</v>
      </c>
      <c r="X413" t="s">
        <v>871</v>
      </c>
      <c r="Y413">
        <v>120000</v>
      </c>
      <c r="Z413" t="s">
        <v>31</v>
      </c>
      <c r="AA413">
        <v>-5.4671695923602208E-3</v>
      </c>
      <c r="AB413">
        <v>116.95</v>
      </c>
      <c r="AC413" t="s">
        <v>51</v>
      </c>
      <c r="AE413" t="s">
        <v>464</v>
      </c>
      <c r="AF413">
        <v>8.8014849139223278E-2</v>
      </c>
      <c r="AH413" t="s">
        <v>244</v>
      </c>
      <c r="AJ413">
        <v>2.2158761277094857E-2</v>
      </c>
      <c r="AK413">
        <v>2.2158761277094857E-2</v>
      </c>
      <c r="AL413">
        <v>0</v>
      </c>
      <c r="AN413" t="s">
        <v>145</v>
      </c>
      <c r="AQ413">
        <v>1.9503000309155664E-3</v>
      </c>
    </row>
    <row r="414" spans="1:43" x14ac:dyDescent="0.2">
      <c r="A414">
        <v>412</v>
      </c>
      <c r="B414">
        <v>102</v>
      </c>
      <c r="C414">
        <v>7</v>
      </c>
      <c r="D414">
        <v>46000</v>
      </c>
      <c r="E414" t="s">
        <v>483</v>
      </c>
      <c r="F414" t="s">
        <v>49</v>
      </c>
      <c r="G414" t="s">
        <v>484</v>
      </c>
      <c r="H414">
        <v>7.3307492405563224E-2</v>
      </c>
      <c r="I414">
        <v>-2.9096151745883921E-6</v>
      </c>
      <c r="J414">
        <v>7.37</v>
      </c>
      <c r="L414" s="1">
        <v>48563</v>
      </c>
      <c r="M414" s="1">
        <v>43165</v>
      </c>
      <c r="N414" s="1"/>
      <c r="R414">
        <v>-2.9251940194709343E-4</v>
      </c>
      <c r="T414" t="s">
        <v>32</v>
      </c>
      <c r="V414">
        <v>1468564627</v>
      </c>
      <c r="W414" t="s">
        <v>485</v>
      </c>
      <c r="X414" t="s">
        <v>486</v>
      </c>
      <c r="Y414">
        <v>46000</v>
      </c>
      <c r="Z414" t="s">
        <v>31</v>
      </c>
      <c r="AA414">
        <v>-1.2168178473764071E-3</v>
      </c>
      <c r="AB414">
        <v>117.25</v>
      </c>
      <c r="AC414" t="s">
        <v>34</v>
      </c>
      <c r="AE414" t="s">
        <v>38</v>
      </c>
      <c r="AF414">
        <v>8.9114849139223282E-2</v>
      </c>
      <c r="AH414" t="s">
        <v>244</v>
      </c>
      <c r="AJ414">
        <v>9.9467425244997593E-3</v>
      </c>
      <c r="AK414">
        <v>9.9467425244997593E-3</v>
      </c>
      <c r="AL414">
        <v>0</v>
      </c>
      <c r="AN414" t="s">
        <v>50</v>
      </c>
      <c r="AQ414">
        <v>8.8640245949749301E-4</v>
      </c>
    </row>
    <row r="415" spans="1:43" x14ac:dyDescent="0.2">
      <c r="A415">
        <v>413</v>
      </c>
      <c r="B415">
        <v>102</v>
      </c>
      <c r="C415">
        <v>7</v>
      </c>
      <c r="D415">
        <v>38500</v>
      </c>
      <c r="E415" t="s">
        <v>255</v>
      </c>
      <c r="F415" t="s">
        <v>49</v>
      </c>
      <c r="G415" t="s">
        <v>487</v>
      </c>
      <c r="H415">
        <v>2.4373050921303041E-2</v>
      </c>
      <c r="I415">
        <v>-1.403462653371185E-6</v>
      </c>
      <c r="J415">
        <v>5.08</v>
      </c>
      <c r="L415" s="1">
        <v>47240</v>
      </c>
      <c r="M415" s="1">
        <v>43165</v>
      </c>
      <c r="N415" s="1"/>
      <c r="R415">
        <v>-2.9251940194709343E-4</v>
      </c>
      <c r="T415" t="s">
        <v>32</v>
      </c>
      <c r="V415">
        <v>708367081</v>
      </c>
      <c r="W415" t="s">
        <v>256</v>
      </c>
      <c r="X415" t="s">
        <v>488</v>
      </c>
      <c r="Y415">
        <v>38500</v>
      </c>
      <c r="Z415" t="s">
        <v>31</v>
      </c>
      <c r="AA415">
        <v>-5.8693617618690538E-4</v>
      </c>
      <c r="AB415">
        <v>105.2</v>
      </c>
      <c r="AC415" t="s">
        <v>34</v>
      </c>
      <c r="AE415" t="s">
        <v>40</v>
      </c>
      <c r="AF415">
        <v>8.7114849139223294E-2</v>
      </c>
      <c r="AH415" t="s">
        <v>244</v>
      </c>
      <c r="AJ415">
        <v>4.7978446695478424E-3</v>
      </c>
      <c r="AK415">
        <v>4.7978446695478424E-3</v>
      </c>
      <c r="AL415">
        <v>0</v>
      </c>
      <c r="AN415" t="s">
        <v>50</v>
      </c>
      <c r="AQ415">
        <v>4.1796351458108693E-4</v>
      </c>
    </row>
    <row r="416" spans="1:43" x14ac:dyDescent="0.2">
      <c r="A416">
        <v>414</v>
      </c>
      <c r="B416">
        <v>107</v>
      </c>
      <c r="C416">
        <v>7</v>
      </c>
      <c r="D416">
        <v>300000000</v>
      </c>
      <c r="E416" t="s">
        <v>255</v>
      </c>
      <c r="F416" t="s">
        <v>49</v>
      </c>
      <c r="G416" t="s">
        <v>419</v>
      </c>
      <c r="H416">
        <v>1.7049402718021633E-3</v>
      </c>
      <c r="I416">
        <v>1.9710021011078085E-7</v>
      </c>
      <c r="J416">
        <v>1.03</v>
      </c>
      <c r="L416" s="1">
        <v>43931</v>
      </c>
      <c r="M416" s="1">
        <v>43165</v>
      </c>
      <c r="R416">
        <v>1.1907350642818377E-4</v>
      </c>
      <c r="T416" t="s">
        <v>39</v>
      </c>
      <c r="V416">
        <v>244390394</v>
      </c>
      <c r="W416" t="s">
        <v>256</v>
      </c>
      <c r="X416" t="s">
        <v>420</v>
      </c>
      <c r="Y416">
        <v>300000000</v>
      </c>
      <c r="Z416" t="s">
        <v>31</v>
      </c>
      <c r="AA416">
        <v>8.2428444654494937E-5</v>
      </c>
      <c r="AB416">
        <v>102.61</v>
      </c>
      <c r="AC416" t="s">
        <v>34</v>
      </c>
      <c r="AE416" t="s">
        <v>40</v>
      </c>
      <c r="AF416">
        <v>3.85E-2</v>
      </c>
      <c r="AH416" t="s">
        <v>244</v>
      </c>
      <c r="AJ416">
        <v>1.6552818172836537E-3</v>
      </c>
      <c r="AK416">
        <v>1.6552818172836537E-3</v>
      </c>
      <c r="AL416">
        <v>0</v>
      </c>
      <c r="AN416" t="s">
        <v>50</v>
      </c>
      <c r="AQ416">
        <v>6.3728349965420667E-5</v>
      </c>
    </row>
    <row r="417" spans="1:43" x14ac:dyDescent="0.2">
      <c r="A417">
        <v>415</v>
      </c>
      <c r="B417">
        <v>102</v>
      </c>
      <c r="C417">
        <v>7</v>
      </c>
      <c r="D417">
        <v>20000</v>
      </c>
      <c r="E417" t="s">
        <v>255</v>
      </c>
      <c r="F417" t="s">
        <v>49</v>
      </c>
      <c r="G417" t="s">
        <v>925</v>
      </c>
      <c r="H417">
        <v>4.4852048237492836E-2</v>
      </c>
      <c r="I417">
        <v>-1.2273240717056681E-6</v>
      </c>
      <c r="J417">
        <v>10.69</v>
      </c>
      <c r="L417" s="1">
        <v>49044</v>
      </c>
      <c r="M417" s="1">
        <v>43165</v>
      </c>
      <c r="R417">
        <v>-2.9251940194709343E-4</v>
      </c>
      <c r="T417" t="s">
        <v>32</v>
      </c>
      <c r="V417">
        <v>619464984</v>
      </c>
      <c r="W417" t="s">
        <v>256</v>
      </c>
      <c r="X417" t="s">
        <v>420</v>
      </c>
      <c r="Y417">
        <v>20000</v>
      </c>
      <c r="Z417" t="s">
        <v>31</v>
      </c>
      <c r="AA417">
        <v>-5.1327400544555024E-4</v>
      </c>
      <c r="AB417">
        <v>111.11</v>
      </c>
      <c r="AC417" t="s">
        <v>34</v>
      </c>
      <c r="AE417" t="s">
        <v>40</v>
      </c>
      <c r="AF417">
        <v>9.2714849139223288E-2</v>
      </c>
      <c r="AH417" t="s">
        <v>244</v>
      </c>
      <c r="AJ417">
        <v>4.1957014253968979E-3</v>
      </c>
      <c r="AK417">
        <v>4.1957014253968979E-3</v>
      </c>
      <c r="AL417">
        <v>0</v>
      </c>
      <c r="AN417" t="s">
        <v>50</v>
      </c>
      <c r="AQ417">
        <v>3.8900382468889748E-4</v>
      </c>
    </row>
    <row r="418" spans="1:43" x14ac:dyDescent="0.2">
      <c r="A418">
        <v>416</v>
      </c>
      <c r="B418">
        <v>99</v>
      </c>
      <c r="C418">
        <v>7</v>
      </c>
      <c r="D418">
        <v>2000</v>
      </c>
      <c r="E418" t="s">
        <v>255</v>
      </c>
      <c r="F418" t="s">
        <v>49</v>
      </c>
      <c r="G418" t="s">
        <v>489</v>
      </c>
      <c r="H418">
        <v>1.4281759882434799E-3</v>
      </c>
      <c r="I418">
        <v>-3.3523155883691975E-7</v>
      </c>
      <c r="J418">
        <v>3.79</v>
      </c>
      <c r="L418" s="1">
        <v>45261</v>
      </c>
      <c r="M418" s="1">
        <v>43165</v>
      </c>
      <c r="R418">
        <v>-8.8961557850762729E-4</v>
      </c>
      <c r="T418" t="s">
        <v>32</v>
      </c>
      <c r="V418">
        <v>55635847</v>
      </c>
      <c r="W418" t="s">
        <v>256</v>
      </c>
      <c r="X418" t="s">
        <v>420</v>
      </c>
      <c r="Y418">
        <v>2000</v>
      </c>
      <c r="Z418" t="s">
        <v>31</v>
      </c>
      <c r="AA418">
        <v>-1.4019577137182196E-4</v>
      </c>
      <c r="AB418">
        <v>102.55</v>
      </c>
      <c r="AC418" t="s">
        <v>34</v>
      </c>
      <c r="AE418" t="s">
        <v>40</v>
      </c>
      <c r="AF418">
        <v>8.3214849139223279E-2</v>
      </c>
      <c r="AH418" t="s">
        <v>244</v>
      </c>
      <c r="AJ418">
        <v>3.7682743753126121E-4</v>
      </c>
      <c r="AK418">
        <v>3.7682743753126121E-4</v>
      </c>
      <c r="AL418">
        <v>0</v>
      </c>
      <c r="AN418" t="s">
        <v>50</v>
      </c>
      <c r="AQ418">
        <v>3.1357638365683988E-5</v>
      </c>
    </row>
    <row r="419" spans="1:43" x14ac:dyDescent="0.2">
      <c r="A419">
        <v>417</v>
      </c>
      <c r="B419">
        <v>91</v>
      </c>
      <c r="C419">
        <v>7</v>
      </c>
      <c r="F419" t="s">
        <v>49</v>
      </c>
      <c r="G419" t="s">
        <v>985</v>
      </c>
      <c r="I419">
        <v>1.0533922716187423E-4</v>
      </c>
      <c r="J419">
        <v>8.9484545698001998</v>
      </c>
      <c r="K419">
        <v>8.9484545698001998</v>
      </c>
      <c r="L419" s="1"/>
      <c r="M419" s="1"/>
      <c r="N419" s="1">
        <v>43164</v>
      </c>
      <c r="R419">
        <v>-5.2688367511407258E-3</v>
      </c>
      <c r="S419">
        <v>-5.2688367511407258E-3</v>
      </c>
      <c r="T419" t="s">
        <v>32</v>
      </c>
      <c r="U419" t="s">
        <v>32</v>
      </c>
      <c r="AA419">
        <v>4.4053472348809464E-2</v>
      </c>
      <c r="AC419" t="s">
        <v>138</v>
      </c>
      <c r="AD419" t="s">
        <v>138</v>
      </c>
      <c r="AF419">
        <v>2.68</v>
      </c>
      <c r="AG419">
        <v>2.68</v>
      </c>
      <c r="AH419" t="s">
        <v>244</v>
      </c>
      <c r="AI419" t="s">
        <v>244</v>
      </c>
      <c r="AJ419">
        <v>-1.9992881187497001E-2</v>
      </c>
      <c r="AK419">
        <v>0</v>
      </c>
      <c r="AL419">
        <v>1.9992881187497001E-2</v>
      </c>
      <c r="AN419" t="s">
        <v>138</v>
      </c>
      <c r="AO419" t="s">
        <v>138</v>
      </c>
    </row>
    <row r="420" spans="1:43" x14ac:dyDescent="0.2">
      <c r="A420">
        <v>418</v>
      </c>
      <c r="B420">
        <v>99</v>
      </c>
      <c r="C420">
        <v>7</v>
      </c>
      <c r="D420">
        <v>40000</v>
      </c>
      <c r="E420" t="s">
        <v>403</v>
      </c>
      <c r="F420" t="s">
        <v>49</v>
      </c>
      <c r="G420" t="s">
        <v>517</v>
      </c>
      <c r="H420">
        <v>3.0753118238357878E-2</v>
      </c>
      <c r="I420">
        <v>-6.5450844671124901E-6</v>
      </c>
      <c r="J420">
        <v>4.18</v>
      </c>
      <c r="L420" s="1">
        <v>44774</v>
      </c>
      <c r="M420" s="1">
        <v>43165</v>
      </c>
      <c r="R420">
        <v>-8.8961557850762729E-4</v>
      </c>
      <c r="T420" t="s">
        <v>32</v>
      </c>
      <c r="V420">
        <v>1086238179</v>
      </c>
      <c r="W420" t="s">
        <v>197</v>
      </c>
      <c r="X420" t="s">
        <v>405</v>
      </c>
      <c r="Y420">
        <v>40000</v>
      </c>
      <c r="Z420" t="s">
        <v>31</v>
      </c>
      <c r="AA420">
        <v>-2.737192073276573E-3</v>
      </c>
      <c r="AB420">
        <v>100.52</v>
      </c>
      <c r="AC420" t="s">
        <v>36</v>
      </c>
      <c r="AE420" t="s">
        <v>41</v>
      </c>
      <c r="AF420">
        <v>8.9914849139223291E-2</v>
      </c>
      <c r="AH420" t="s">
        <v>244</v>
      </c>
      <c r="AJ420">
        <v>7.3572053201813106E-3</v>
      </c>
      <c r="AK420">
        <v>7.3572053201813106E-3</v>
      </c>
      <c r="AL420">
        <v>0</v>
      </c>
      <c r="AN420" t="s">
        <v>146</v>
      </c>
      <c r="AQ420">
        <v>6.615220064503935E-4</v>
      </c>
    </row>
    <row r="421" spans="1:43" x14ac:dyDescent="0.2">
      <c r="A421">
        <v>419</v>
      </c>
      <c r="B421">
        <v>104</v>
      </c>
      <c r="C421">
        <v>7</v>
      </c>
      <c r="D421">
        <v>1325000000</v>
      </c>
      <c r="E421" t="s">
        <v>521</v>
      </c>
      <c r="F421" t="s">
        <v>49</v>
      </c>
      <c r="G421" t="s">
        <v>522</v>
      </c>
      <c r="H421">
        <v>2.6430524860748799E-3</v>
      </c>
      <c r="I421">
        <v>-1.1146094701427311E-6</v>
      </c>
      <c r="J421">
        <v>0.88</v>
      </c>
      <c r="L421" s="1">
        <v>44013</v>
      </c>
      <c r="M421" s="1">
        <v>43165</v>
      </c>
      <c r="R421">
        <v>-3.7110739907486454E-4</v>
      </c>
      <c r="T421" t="s">
        <v>39</v>
      </c>
      <c r="V421">
        <v>443440446</v>
      </c>
      <c r="W421" t="s">
        <v>523</v>
      </c>
      <c r="X421" t="s">
        <v>405</v>
      </c>
      <c r="Y421">
        <v>1325000000</v>
      </c>
      <c r="Z421" t="s">
        <v>31</v>
      </c>
      <c r="AA421">
        <v>-4.6613610898434398E-4</v>
      </c>
      <c r="AB421">
        <v>100.21</v>
      </c>
      <c r="AC421" t="s">
        <v>33</v>
      </c>
      <c r="AE421" t="s">
        <v>41</v>
      </c>
      <c r="AF421">
        <v>6.7599999999999993E-2</v>
      </c>
      <c r="AH421" t="s">
        <v>244</v>
      </c>
      <c r="AJ421">
        <v>3.003468734176E-3</v>
      </c>
      <c r="AK421">
        <v>3.003468734176E-3</v>
      </c>
      <c r="AL421">
        <v>0</v>
      </c>
      <c r="AN421" t="s">
        <v>144</v>
      </c>
      <c r="AQ421">
        <v>2.0303448643029757E-4</v>
      </c>
    </row>
    <row r="422" spans="1:43" x14ac:dyDescent="0.2">
      <c r="A422">
        <v>420</v>
      </c>
      <c r="B422">
        <v>107</v>
      </c>
      <c r="C422">
        <v>7</v>
      </c>
      <c r="D422">
        <v>1670000000</v>
      </c>
      <c r="E422" t="s">
        <v>521</v>
      </c>
      <c r="F422" t="s">
        <v>49</v>
      </c>
      <c r="G422" t="s">
        <v>524</v>
      </c>
      <c r="H422">
        <v>1.2402716363339426E-2</v>
      </c>
      <c r="I422">
        <v>1.3674397468676269E-6</v>
      </c>
      <c r="J422">
        <v>1.08</v>
      </c>
      <c r="L422" s="1">
        <v>43922</v>
      </c>
      <c r="M422" s="1">
        <v>43165</v>
      </c>
      <c r="N422" s="1"/>
      <c r="R422">
        <v>1.1907350642818377E-4</v>
      </c>
      <c r="T422" t="s">
        <v>39</v>
      </c>
      <c r="V422">
        <v>1695529083</v>
      </c>
      <c r="W422" t="s">
        <v>523</v>
      </c>
      <c r="X422" t="s">
        <v>405</v>
      </c>
      <c r="Y422">
        <v>1670000000</v>
      </c>
      <c r="Z422" t="s">
        <v>31</v>
      </c>
      <c r="AA422">
        <v>5.7187118892304762E-4</v>
      </c>
      <c r="AB422">
        <v>100.53</v>
      </c>
      <c r="AC422" t="s">
        <v>33</v>
      </c>
      <c r="AE422" t="s">
        <v>41</v>
      </c>
      <c r="AF422">
        <v>5.2999999999999999E-2</v>
      </c>
      <c r="AH422" t="s">
        <v>244</v>
      </c>
      <c r="AJ422">
        <v>1.1483996632721689E-2</v>
      </c>
      <c r="AK422">
        <v>1.1483996632721689E-2</v>
      </c>
      <c r="AL422">
        <v>0</v>
      </c>
      <c r="AN422" t="s">
        <v>144</v>
      </c>
      <c r="AQ422">
        <v>6.0865182153424947E-4</v>
      </c>
    </row>
    <row r="423" spans="1:43" x14ac:dyDescent="0.2">
      <c r="A423">
        <v>421</v>
      </c>
      <c r="B423">
        <v>125</v>
      </c>
      <c r="C423">
        <v>7</v>
      </c>
      <c r="F423" t="s">
        <v>49</v>
      </c>
      <c r="G423" t="s">
        <v>986</v>
      </c>
      <c r="I423">
        <v>2.4290806682412366E-5</v>
      </c>
      <c r="J423">
        <v>3.3698571995904998</v>
      </c>
      <c r="K423">
        <v>3.3698571995904998</v>
      </c>
      <c r="L423" s="1"/>
      <c r="M423" s="1"/>
      <c r="N423" s="1">
        <v>43164</v>
      </c>
      <c r="R423">
        <v>-2.3519489473039345E-3</v>
      </c>
      <c r="S423">
        <v>-2.3519489473039345E-3</v>
      </c>
      <c r="T423" t="s">
        <v>32</v>
      </c>
      <c r="U423" t="s">
        <v>32</v>
      </c>
      <c r="AA423">
        <v>1.0158555453131633E-2</v>
      </c>
      <c r="AC423" t="s">
        <v>50</v>
      </c>
      <c r="AD423" t="s">
        <v>50</v>
      </c>
      <c r="AF423">
        <v>2.94</v>
      </c>
      <c r="AG423">
        <v>2.94</v>
      </c>
      <c r="AH423" t="s">
        <v>244</v>
      </c>
      <c r="AI423" t="s">
        <v>244</v>
      </c>
      <c r="AJ423">
        <v>-1.0327948108847001E-2</v>
      </c>
      <c r="AK423">
        <v>0</v>
      </c>
      <c r="AL423">
        <v>1.0327948108847001E-2</v>
      </c>
      <c r="AN423" t="s">
        <v>50</v>
      </c>
      <c r="AO423" t="s">
        <v>50</v>
      </c>
    </row>
    <row r="424" spans="1:43" x14ac:dyDescent="0.2">
      <c r="A424">
        <v>422</v>
      </c>
      <c r="B424">
        <v>93</v>
      </c>
      <c r="C424">
        <v>7</v>
      </c>
      <c r="D424">
        <v>11500</v>
      </c>
      <c r="E424" t="s">
        <v>348</v>
      </c>
      <c r="F424" t="s">
        <v>49</v>
      </c>
      <c r="G424" t="s">
        <v>349</v>
      </c>
      <c r="H424">
        <v>9.3940756729902022E-4</v>
      </c>
      <c r="I424">
        <v>-1.4292175246634403E-6</v>
      </c>
      <c r="J424">
        <v>0.73</v>
      </c>
      <c r="L424" s="1">
        <v>43617</v>
      </c>
      <c r="M424" s="1">
        <v>43165</v>
      </c>
      <c r="R424">
        <v>-1.1106242160727798E-3</v>
      </c>
      <c r="T424" t="s">
        <v>32</v>
      </c>
      <c r="V424">
        <v>189995529</v>
      </c>
      <c r="W424" t="s">
        <v>350</v>
      </c>
      <c r="X424" t="s">
        <v>351</v>
      </c>
      <c r="Y424">
        <v>11500</v>
      </c>
      <c r="Z424" t="s">
        <v>31</v>
      </c>
      <c r="AA424">
        <v>-5.9770701190394544E-4</v>
      </c>
      <c r="AB424">
        <v>101.18</v>
      </c>
      <c r="AC424" t="s">
        <v>34</v>
      </c>
      <c r="AE424" t="s">
        <v>41</v>
      </c>
      <c r="AF424">
        <v>8.5914849139223287E-2</v>
      </c>
      <c r="AH424" t="s">
        <v>244</v>
      </c>
      <c r="AJ424">
        <v>1.2868596812315345E-3</v>
      </c>
      <c r="AK424">
        <v>1.2868596812315345E-3</v>
      </c>
      <c r="AL424">
        <v>0</v>
      </c>
      <c r="AN424" t="s">
        <v>50</v>
      </c>
      <c r="AQ424">
        <v>1.1056035537635626E-4</v>
      </c>
    </row>
    <row r="425" spans="1:43" x14ac:dyDescent="0.2">
      <c r="A425">
        <v>423</v>
      </c>
      <c r="B425">
        <v>96</v>
      </c>
      <c r="C425">
        <v>7</v>
      </c>
      <c r="D425">
        <v>30000</v>
      </c>
      <c r="E425" t="s">
        <v>348</v>
      </c>
      <c r="F425" t="s">
        <v>49</v>
      </c>
      <c r="G425" t="s">
        <v>548</v>
      </c>
      <c r="H425">
        <v>1.5079795339515567E-2</v>
      </c>
      <c r="I425">
        <v>-6.7675084834830607E-6</v>
      </c>
      <c r="J425">
        <v>2.6</v>
      </c>
      <c r="L425" s="1">
        <v>44166</v>
      </c>
      <c r="M425" s="1">
        <v>43165</v>
      </c>
      <c r="N425" s="1"/>
      <c r="R425">
        <v>-1.1668276432736525E-3</v>
      </c>
      <c r="T425" t="s">
        <v>32</v>
      </c>
      <c r="V425">
        <v>856316449</v>
      </c>
      <c r="W425" t="s">
        <v>350</v>
      </c>
      <c r="X425" t="s">
        <v>351</v>
      </c>
      <c r="Y425">
        <v>30000</v>
      </c>
      <c r="Z425" t="s">
        <v>31</v>
      </c>
      <c r="AA425">
        <v>-2.8302110797653397E-3</v>
      </c>
      <c r="AB425">
        <v>104.82</v>
      </c>
      <c r="AC425" t="s">
        <v>34</v>
      </c>
      <c r="AE425" t="s">
        <v>41</v>
      </c>
      <c r="AF425">
        <v>8.6314849139223285E-2</v>
      </c>
      <c r="AH425" t="s">
        <v>244</v>
      </c>
      <c r="AJ425">
        <v>5.7999212844290641E-3</v>
      </c>
      <c r="AK425">
        <v>5.7999212844290641E-3</v>
      </c>
      <c r="AL425">
        <v>0</v>
      </c>
      <c r="AN425" t="s">
        <v>50</v>
      </c>
      <c r="AQ425">
        <v>5.006193306848648E-4</v>
      </c>
    </row>
    <row r="426" spans="1:43" x14ac:dyDescent="0.2">
      <c r="A426">
        <v>424</v>
      </c>
      <c r="B426">
        <v>107</v>
      </c>
      <c r="C426">
        <v>7</v>
      </c>
      <c r="D426">
        <v>1390000000</v>
      </c>
      <c r="E426" t="s">
        <v>348</v>
      </c>
      <c r="F426" t="s">
        <v>49</v>
      </c>
      <c r="G426" t="s">
        <v>415</v>
      </c>
      <c r="H426">
        <v>8.6564028172085063E-3</v>
      </c>
      <c r="I426">
        <v>9.1216658097329679E-7</v>
      </c>
      <c r="J426">
        <v>1.1299999999999999</v>
      </c>
      <c r="L426" s="1">
        <v>43862</v>
      </c>
      <c r="M426" s="1">
        <v>43165</v>
      </c>
      <c r="N426" s="1"/>
      <c r="R426">
        <v>1.1907350642818377E-4</v>
      </c>
      <c r="T426" t="s">
        <v>39</v>
      </c>
      <c r="V426">
        <v>1131022387</v>
      </c>
      <c r="W426" t="s">
        <v>350</v>
      </c>
      <c r="X426" t="s">
        <v>351</v>
      </c>
      <c r="Y426">
        <v>1390000000</v>
      </c>
      <c r="Z426" t="s">
        <v>31</v>
      </c>
      <c r="AA426">
        <v>3.8147332513332853E-4</v>
      </c>
      <c r="AB426">
        <v>101.22</v>
      </c>
      <c r="AC426" t="s">
        <v>34</v>
      </c>
      <c r="AE426" t="s">
        <v>41</v>
      </c>
      <c r="AF426">
        <v>4.3799999999999999E-2</v>
      </c>
      <c r="AH426" t="s">
        <v>244</v>
      </c>
      <c r="AJ426">
        <v>7.6605334665562014E-3</v>
      </c>
      <c r="AK426">
        <v>7.6605334665562014E-3</v>
      </c>
      <c r="AL426">
        <v>0</v>
      </c>
      <c r="AN426" t="s">
        <v>50</v>
      </c>
      <c r="AQ426">
        <v>3.3553136583516161E-4</v>
      </c>
    </row>
    <row r="427" spans="1:43" x14ac:dyDescent="0.2">
      <c r="A427">
        <v>425</v>
      </c>
      <c r="B427">
        <v>107</v>
      </c>
      <c r="C427">
        <v>7</v>
      </c>
      <c r="D427">
        <v>750000000</v>
      </c>
      <c r="E427" t="s">
        <v>348</v>
      </c>
      <c r="F427" t="s">
        <v>49</v>
      </c>
      <c r="G427" t="s">
        <v>549</v>
      </c>
      <c r="H427">
        <v>6.6068241509514491E-3</v>
      </c>
      <c r="I427">
        <v>6.1460759219390408E-7</v>
      </c>
      <c r="J427">
        <v>1.28</v>
      </c>
      <c r="L427" s="1">
        <v>44014</v>
      </c>
      <c r="M427" s="1">
        <v>43165</v>
      </c>
      <c r="N427" s="1"/>
      <c r="R427">
        <v>1.1907350642818377E-4</v>
      </c>
      <c r="T427" t="s">
        <v>39</v>
      </c>
      <c r="V427">
        <v>762070175</v>
      </c>
      <c r="W427" t="s">
        <v>350</v>
      </c>
      <c r="X427" t="s">
        <v>351</v>
      </c>
      <c r="Y427">
        <v>750000000</v>
      </c>
      <c r="Z427" t="s">
        <v>31</v>
      </c>
      <c r="AA427">
        <v>2.5703243983815817E-4</v>
      </c>
      <c r="AB427">
        <v>100.74</v>
      </c>
      <c r="AC427" t="s">
        <v>34</v>
      </c>
      <c r="AE427" t="s">
        <v>41</v>
      </c>
      <c r="AF427">
        <v>4.4999999999999998E-2</v>
      </c>
      <c r="AH427" t="s">
        <v>244</v>
      </c>
      <c r="AJ427">
        <v>5.1615813679308196E-3</v>
      </c>
      <c r="AK427">
        <v>5.1615813679308196E-3</v>
      </c>
      <c r="AL427">
        <v>0</v>
      </c>
      <c r="AN427" t="s">
        <v>50</v>
      </c>
      <c r="AQ427">
        <v>2.3227116155688689E-4</v>
      </c>
    </row>
    <row r="428" spans="1:43" x14ac:dyDescent="0.2">
      <c r="A428">
        <v>426</v>
      </c>
      <c r="B428">
        <v>99</v>
      </c>
      <c r="C428">
        <v>7</v>
      </c>
      <c r="D428">
        <v>20000</v>
      </c>
      <c r="E428" t="s">
        <v>348</v>
      </c>
      <c r="F428" t="s">
        <v>49</v>
      </c>
      <c r="G428" t="s">
        <v>550</v>
      </c>
      <c r="H428">
        <v>1.7127567733047522E-2</v>
      </c>
      <c r="I428">
        <v>-3.2838256632033712E-6</v>
      </c>
      <c r="J428">
        <v>4.6399999999999997</v>
      </c>
      <c r="L428" s="1">
        <v>45417</v>
      </c>
      <c r="M428" s="1">
        <v>43165</v>
      </c>
      <c r="R428">
        <v>-8.8961557850762729E-4</v>
      </c>
      <c r="T428" t="s">
        <v>32</v>
      </c>
      <c r="V428">
        <v>544991715</v>
      </c>
      <c r="W428" t="s">
        <v>350</v>
      </c>
      <c r="X428" t="s">
        <v>351</v>
      </c>
      <c r="Y428">
        <v>20000</v>
      </c>
      <c r="Z428" t="s">
        <v>31</v>
      </c>
      <c r="AA428">
        <v>-1.3733148319945078E-3</v>
      </c>
      <c r="AB428">
        <v>100.36</v>
      </c>
      <c r="AC428" t="s">
        <v>34</v>
      </c>
      <c r="AE428" t="s">
        <v>41</v>
      </c>
      <c r="AF428">
        <v>8.6714849139223282E-2</v>
      </c>
      <c r="AH428" t="s">
        <v>244</v>
      </c>
      <c r="AJ428">
        <v>3.69128614936369E-3</v>
      </c>
      <c r="AK428">
        <v>3.69128614936369E-3</v>
      </c>
      <c r="AL428">
        <v>0</v>
      </c>
      <c r="AN428" t="s">
        <v>50</v>
      </c>
      <c r="AQ428">
        <v>3.2008932157177682E-4</v>
      </c>
    </row>
    <row r="429" spans="1:43" x14ac:dyDescent="0.2">
      <c r="A429">
        <v>427</v>
      </c>
      <c r="B429">
        <v>110</v>
      </c>
      <c r="C429">
        <v>7</v>
      </c>
      <c r="D429">
        <v>1700000000</v>
      </c>
      <c r="E429" t="s">
        <v>348</v>
      </c>
      <c r="F429" t="s">
        <v>49</v>
      </c>
      <c r="G429" t="s">
        <v>551</v>
      </c>
      <c r="H429">
        <v>4.0490491005725139E-2</v>
      </c>
      <c r="I429">
        <v>1.2235883802742134E-5</v>
      </c>
      <c r="J429">
        <v>3.45</v>
      </c>
      <c r="L429" s="1">
        <v>44829</v>
      </c>
      <c r="M429" s="1">
        <v>43165</v>
      </c>
      <c r="R429">
        <v>1.0425608104750214E-3</v>
      </c>
      <c r="T429" t="s">
        <v>39</v>
      </c>
      <c r="V429">
        <v>1732790807</v>
      </c>
      <c r="W429" t="s">
        <v>350</v>
      </c>
      <c r="X429" t="s">
        <v>351</v>
      </c>
      <c r="Y429">
        <v>1700000000</v>
      </c>
      <c r="Z429" t="s">
        <v>31</v>
      </c>
      <c r="AA429">
        <v>5.1171171774311271E-3</v>
      </c>
      <c r="AB429">
        <v>99.83</v>
      </c>
      <c r="AC429" t="s">
        <v>34</v>
      </c>
      <c r="AE429" t="s">
        <v>41</v>
      </c>
      <c r="AF429">
        <v>4.8500000000000001E-2</v>
      </c>
      <c r="AH429" t="s">
        <v>244</v>
      </c>
      <c r="AJ429">
        <v>1.173637420455801E-2</v>
      </c>
      <c r="AK429">
        <v>1.173637420455801E-2</v>
      </c>
      <c r="AL429">
        <v>0</v>
      </c>
      <c r="AN429" t="s">
        <v>50</v>
      </c>
      <c r="AQ429">
        <v>5.6921414892106348E-4</v>
      </c>
    </row>
    <row r="430" spans="1:43" x14ac:dyDescent="0.2">
      <c r="A430">
        <v>428</v>
      </c>
      <c r="B430">
        <v>89</v>
      </c>
      <c r="C430">
        <v>7</v>
      </c>
      <c r="D430">
        <v>40000</v>
      </c>
      <c r="E430" t="s">
        <v>257</v>
      </c>
      <c r="F430" t="s">
        <v>49</v>
      </c>
      <c r="G430" t="s">
        <v>552</v>
      </c>
      <c r="H430">
        <v>2.5044643196400131E-2</v>
      </c>
      <c r="I430">
        <v>5.7385853774941282E-5</v>
      </c>
      <c r="J430">
        <v>3.04</v>
      </c>
      <c r="K430">
        <v>3.0476097066375001</v>
      </c>
      <c r="L430" s="1">
        <v>44378</v>
      </c>
      <c r="M430" s="1">
        <v>43165</v>
      </c>
      <c r="N430" s="1">
        <v>43164</v>
      </c>
      <c r="R430">
        <v>-4.4615847120025569E-3</v>
      </c>
      <c r="S430">
        <v>-4.4615847120025569E-3</v>
      </c>
      <c r="T430" t="s">
        <v>32</v>
      </c>
      <c r="U430" t="s">
        <v>32</v>
      </c>
      <c r="V430">
        <v>1216335696</v>
      </c>
      <c r="W430" t="s">
        <v>257</v>
      </c>
      <c r="X430" t="s">
        <v>553</v>
      </c>
      <c r="Y430">
        <v>40000</v>
      </c>
      <c r="Z430" t="s">
        <v>31</v>
      </c>
      <c r="AA430">
        <v>2.3999095024708733E-2</v>
      </c>
      <c r="AB430">
        <v>111.62</v>
      </c>
      <c r="AC430" t="s">
        <v>138</v>
      </c>
      <c r="AD430" t="s">
        <v>138</v>
      </c>
      <c r="AE430" t="s">
        <v>44</v>
      </c>
      <c r="AF430">
        <v>8.9714849139223285E-2</v>
      </c>
      <c r="AG430">
        <v>2.46</v>
      </c>
      <c r="AH430" t="s">
        <v>244</v>
      </c>
      <c r="AI430" t="s">
        <v>244</v>
      </c>
      <c r="AJ430">
        <v>-1.2862213199843956E-2</v>
      </c>
      <c r="AK430">
        <v>8.2383694725000432E-3</v>
      </c>
      <c r="AL430">
        <v>2.1100582672344E-2</v>
      </c>
      <c r="AM430" t="s">
        <v>44</v>
      </c>
      <c r="AN430" t="s">
        <v>142</v>
      </c>
      <c r="AO430" t="s">
        <v>138</v>
      </c>
      <c r="AP430" t="s">
        <v>31</v>
      </c>
      <c r="AQ430">
        <v>7.3910407437852393E-4</v>
      </c>
    </row>
    <row r="431" spans="1:43" x14ac:dyDescent="0.2">
      <c r="A431">
        <v>429</v>
      </c>
      <c r="B431">
        <v>89</v>
      </c>
      <c r="C431">
        <v>7</v>
      </c>
      <c r="D431">
        <v>69000</v>
      </c>
      <c r="E431" t="s">
        <v>257</v>
      </c>
      <c r="F431" t="s">
        <v>49</v>
      </c>
      <c r="G431" t="s">
        <v>554</v>
      </c>
      <c r="H431">
        <v>4.5428290310264838E-2</v>
      </c>
      <c r="I431">
        <v>3.06758526094425E-5</v>
      </c>
      <c r="J431">
        <v>3.21</v>
      </c>
      <c r="K431">
        <v>3.2169872405033999</v>
      </c>
      <c r="L431" s="1">
        <v>44440</v>
      </c>
      <c r="M431" s="1">
        <v>43165</v>
      </c>
      <c r="N431" s="1">
        <v>43164</v>
      </c>
      <c r="R431">
        <v>-4.4615847120025569E-3</v>
      </c>
      <c r="S431">
        <v>-4.4615847120025569E-3</v>
      </c>
      <c r="T431" t="s">
        <v>32</v>
      </c>
      <c r="U431" t="s">
        <v>32</v>
      </c>
      <c r="V431">
        <v>2089457525</v>
      </c>
      <c r="W431" t="s">
        <v>257</v>
      </c>
      <c r="X431" t="s">
        <v>553</v>
      </c>
      <c r="Y431">
        <v>69000</v>
      </c>
      <c r="Z431" t="s">
        <v>31</v>
      </c>
      <c r="AA431">
        <v>1.2828818485914793E-2</v>
      </c>
      <c r="AB431">
        <v>112.25</v>
      </c>
      <c r="AC431" t="s">
        <v>138</v>
      </c>
      <c r="AD431" t="s">
        <v>138</v>
      </c>
      <c r="AE431" t="s">
        <v>44</v>
      </c>
      <c r="AF431">
        <v>8.9714849139223285E-2</v>
      </c>
      <c r="AG431">
        <v>2.44</v>
      </c>
      <c r="AH431" t="s">
        <v>244</v>
      </c>
      <c r="AI431" t="s">
        <v>244</v>
      </c>
      <c r="AJ431">
        <v>-6.8755508613157802E-3</v>
      </c>
      <c r="AK431">
        <v>1.4152115361453221E-2</v>
      </c>
      <c r="AL431">
        <v>2.1027666222769002E-2</v>
      </c>
      <c r="AM431" t="s">
        <v>44</v>
      </c>
      <c r="AN431" t="s">
        <v>142</v>
      </c>
      <c r="AO431" t="s">
        <v>138</v>
      </c>
      <c r="AP431" t="s">
        <v>31</v>
      </c>
      <c r="AQ431">
        <v>1.2696548946536602E-3</v>
      </c>
    </row>
    <row r="432" spans="1:43" x14ac:dyDescent="0.2">
      <c r="A432">
        <v>430</v>
      </c>
      <c r="B432">
        <v>91</v>
      </c>
      <c r="C432">
        <v>7</v>
      </c>
      <c r="D432">
        <v>65000</v>
      </c>
      <c r="E432" t="s">
        <v>447</v>
      </c>
      <c r="F432" t="s">
        <v>49</v>
      </c>
      <c r="G432" t="s">
        <v>893</v>
      </c>
      <c r="H432">
        <v>0.14950374289163912</v>
      </c>
      <c r="I432">
        <v>5.4259551527000458E-5</v>
      </c>
      <c r="J432">
        <v>12.01</v>
      </c>
      <c r="K432">
        <v>12.029966735993</v>
      </c>
      <c r="L432" s="1">
        <v>53865</v>
      </c>
      <c r="M432" s="1">
        <v>43165</v>
      </c>
      <c r="N432" s="1">
        <v>43164</v>
      </c>
      <c r="R432">
        <v>-5.2688367511407258E-3</v>
      </c>
      <c r="S432">
        <v>-5.2688367511407258E-3</v>
      </c>
      <c r="T432" t="s">
        <v>32</v>
      </c>
      <c r="U432" t="s">
        <v>32</v>
      </c>
      <c r="V432">
        <v>1837897323</v>
      </c>
      <c r="W432" t="s">
        <v>448</v>
      </c>
      <c r="X432" t="s">
        <v>449</v>
      </c>
      <c r="Y432">
        <v>65000</v>
      </c>
      <c r="Z432" t="s">
        <v>31</v>
      </c>
      <c r="AA432">
        <v>2.2691657393501874E-2</v>
      </c>
      <c r="AB432">
        <v>104.21</v>
      </c>
      <c r="AC432" t="s">
        <v>138</v>
      </c>
      <c r="AD432" t="s">
        <v>138</v>
      </c>
      <c r="AE432" t="s">
        <v>85</v>
      </c>
      <c r="AF432">
        <v>9.4914849139223281E-2</v>
      </c>
      <c r="AG432">
        <v>2.97</v>
      </c>
      <c r="AH432" t="s">
        <v>244</v>
      </c>
      <c r="AI432" t="s">
        <v>244</v>
      </c>
      <c r="AJ432">
        <v>-1.0298203206856434E-2</v>
      </c>
      <c r="AK432">
        <v>1.2448271681235565E-2</v>
      </c>
      <c r="AL432">
        <v>2.2746474888091998E-2</v>
      </c>
      <c r="AM432" t="s">
        <v>85</v>
      </c>
      <c r="AN432" t="s">
        <v>142</v>
      </c>
      <c r="AO432" t="s">
        <v>138</v>
      </c>
      <c r="AP432" t="s">
        <v>31</v>
      </c>
      <c r="AQ432">
        <v>1.1815258286685391E-3</v>
      </c>
    </row>
    <row r="433" spans="1:43" x14ac:dyDescent="0.2">
      <c r="A433">
        <v>431</v>
      </c>
      <c r="B433">
        <v>93</v>
      </c>
      <c r="C433">
        <v>7</v>
      </c>
      <c r="D433">
        <v>1000</v>
      </c>
      <c r="E433" t="s">
        <v>258</v>
      </c>
      <c r="F433" t="s">
        <v>49</v>
      </c>
      <c r="G433" t="s">
        <v>338</v>
      </c>
      <c r="H433">
        <v>3.1509194212523341E-5</v>
      </c>
      <c r="I433">
        <v>-2.0585220071393357E-7</v>
      </c>
      <c r="J433">
        <v>0.17</v>
      </c>
      <c r="L433" s="1">
        <v>43227</v>
      </c>
      <c r="M433" s="1">
        <v>43165</v>
      </c>
      <c r="R433">
        <v>-1.1106242160727798E-3</v>
      </c>
      <c r="T433" t="s">
        <v>32</v>
      </c>
      <c r="V433">
        <v>27365322</v>
      </c>
      <c r="W433" t="s">
        <v>259</v>
      </c>
      <c r="X433" t="s">
        <v>339</v>
      </c>
      <c r="Y433">
        <v>1000</v>
      </c>
      <c r="Z433" t="s">
        <v>31</v>
      </c>
      <c r="AA433">
        <v>-8.6088577602314536E-5</v>
      </c>
      <c r="AB433">
        <v>100.4</v>
      </c>
      <c r="AC433" t="s">
        <v>34</v>
      </c>
      <c r="AE433" t="s">
        <v>35</v>
      </c>
      <c r="AF433">
        <v>7.6714849139223287E-2</v>
      </c>
      <c r="AH433" t="s">
        <v>244</v>
      </c>
      <c r="AJ433">
        <v>1.853482012501373E-4</v>
      </c>
      <c r="AK433">
        <v>1.853482012501373E-4</v>
      </c>
      <c r="AL433">
        <v>0</v>
      </c>
      <c r="AN433" t="s">
        <v>50</v>
      </c>
      <c r="AQ433">
        <v>1.4218959297130679E-5</v>
      </c>
    </row>
    <row r="434" spans="1:43" x14ac:dyDescent="0.2">
      <c r="A434">
        <v>432</v>
      </c>
      <c r="B434">
        <v>102</v>
      </c>
      <c r="C434">
        <v>7</v>
      </c>
      <c r="D434">
        <v>10000</v>
      </c>
      <c r="E434" t="s">
        <v>258</v>
      </c>
      <c r="F434" t="s">
        <v>49</v>
      </c>
      <c r="G434" t="s">
        <v>555</v>
      </c>
      <c r="H434">
        <v>1.7567609931503737E-2</v>
      </c>
      <c r="I434">
        <v>-6.052846585162888E-7</v>
      </c>
      <c r="J434">
        <v>8.49</v>
      </c>
      <c r="L434" s="1">
        <v>46880</v>
      </c>
      <c r="M434" s="1">
        <v>43165</v>
      </c>
      <c r="R434">
        <v>-2.9251940194709343E-4</v>
      </c>
      <c r="T434" t="s">
        <v>32</v>
      </c>
      <c r="V434">
        <v>305504194</v>
      </c>
      <c r="W434" t="s">
        <v>259</v>
      </c>
      <c r="X434" t="s">
        <v>339</v>
      </c>
      <c r="Y434">
        <v>10000</v>
      </c>
      <c r="Z434" t="s">
        <v>31</v>
      </c>
      <c r="AA434">
        <v>-2.5313353520365316E-4</v>
      </c>
      <c r="AB434">
        <v>111.9</v>
      </c>
      <c r="AC434" t="s">
        <v>34</v>
      </c>
      <c r="AE434" t="s">
        <v>35</v>
      </c>
      <c r="AF434">
        <v>9.1214849139223286E-2</v>
      </c>
      <c r="AH434" t="s">
        <v>244</v>
      </c>
      <c r="AJ434">
        <v>2.0692120060663999E-3</v>
      </c>
      <c r="AK434">
        <v>2.0692120060663999E-3</v>
      </c>
      <c r="AL434">
        <v>0</v>
      </c>
      <c r="AN434" t="s">
        <v>50</v>
      </c>
      <c r="AQ434">
        <v>1.8874286097041626E-4</v>
      </c>
    </row>
    <row r="435" spans="1:43" x14ac:dyDescent="0.2">
      <c r="A435">
        <v>433</v>
      </c>
      <c r="B435">
        <v>102</v>
      </c>
      <c r="C435">
        <v>7</v>
      </c>
      <c r="D435">
        <v>36000</v>
      </c>
      <c r="E435" t="s">
        <v>258</v>
      </c>
      <c r="F435" t="s">
        <v>49</v>
      </c>
      <c r="G435" t="s">
        <v>556</v>
      </c>
      <c r="H435">
        <v>4.3162802531005677E-2</v>
      </c>
      <c r="I435">
        <v>-2.3166893913266552E-6</v>
      </c>
      <c r="J435">
        <v>5.45</v>
      </c>
      <c r="L435" s="1">
        <v>47406</v>
      </c>
      <c r="M435" s="1">
        <v>43165</v>
      </c>
      <c r="N435" s="1"/>
      <c r="R435">
        <v>-2.9251940194709343E-4</v>
      </c>
      <c r="T435" t="s">
        <v>32</v>
      </c>
      <c r="V435">
        <v>1169298305</v>
      </c>
      <c r="W435" t="s">
        <v>259</v>
      </c>
      <c r="X435" t="s">
        <v>339</v>
      </c>
      <c r="Y435">
        <v>36000</v>
      </c>
      <c r="Z435" t="s">
        <v>31</v>
      </c>
      <c r="AA435">
        <v>-9.6885286508469179E-4</v>
      </c>
      <c r="AB435">
        <v>117.93</v>
      </c>
      <c r="AC435" t="s">
        <v>34</v>
      </c>
      <c r="AE435" t="s">
        <v>35</v>
      </c>
      <c r="AF435">
        <v>8.9514849139223279E-2</v>
      </c>
      <c r="AH435" t="s">
        <v>244</v>
      </c>
      <c r="AJ435">
        <v>7.919780280918472E-3</v>
      </c>
      <c r="AK435">
        <v>7.919780280918472E-3</v>
      </c>
      <c r="AL435">
        <v>0</v>
      </c>
      <c r="AN435" t="s">
        <v>50</v>
      </c>
      <c r="AQ435">
        <v>7.0893793706221242E-4</v>
      </c>
    </row>
    <row r="436" spans="1:43" x14ac:dyDescent="0.2">
      <c r="A436">
        <v>434</v>
      </c>
      <c r="B436">
        <v>112</v>
      </c>
      <c r="C436">
        <v>7</v>
      </c>
      <c r="D436">
        <v>2040000000</v>
      </c>
      <c r="E436" t="s">
        <v>258</v>
      </c>
      <c r="F436" t="s">
        <v>49</v>
      </c>
      <c r="G436" t="s">
        <v>558</v>
      </c>
      <c r="H436">
        <v>0.12451128831725514</v>
      </c>
      <c r="I436">
        <v>2.8389458751797721E-5</v>
      </c>
      <c r="J436">
        <v>8.77</v>
      </c>
      <c r="L436" s="1">
        <v>48000</v>
      </c>
      <c r="M436" s="1">
        <v>43165</v>
      </c>
      <c r="N436" s="1"/>
      <c r="R436">
        <v>1.9996223364011426E-3</v>
      </c>
      <c r="T436" t="s">
        <v>39</v>
      </c>
      <c r="V436">
        <v>2096144995</v>
      </c>
      <c r="W436" t="s">
        <v>259</v>
      </c>
      <c r="X436" t="s">
        <v>339</v>
      </c>
      <c r="Y436">
        <v>2040000000</v>
      </c>
      <c r="Z436" t="s">
        <v>31</v>
      </c>
      <c r="AA436">
        <v>1.1872635387746997E-2</v>
      </c>
      <c r="AB436">
        <v>100.96</v>
      </c>
      <c r="AC436" t="s">
        <v>34</v>
      </c>
      <c r="AE436" t="s">
        <v>35</v>
      </c>
      <c r="AF436">
        <v>6.88E-2</v>
      </c>
      <c r="AH436" t="s">
        <v>244</v>
      </c>
      <c r="AJ436">
        <v>1.4197410298432741E-2</v>
      </c>
      <c r="AK436">
        <v>1.4197410298432741E-2</v>
      </c>
      <c r="AL436">
        <v>0</v>
      </c>
      <c r="AN436" t="s">
        <v>50</v>
      </c>
      <c r="AQ436">
        <v>9.7678182853217247E-4</v>
      </c>
    </row>
    <row r="437" spans="1:43" x14ac:dyDescent="0.2">
      <c r="A437">
        <v>435</v>
      </c>
      <c r="B437">
        <v>102</v>
      </c>
      <c r="C437">
        <v>7</v>
      </c>
      <c r="D437">
        <v>35000</v>
      </c>
      <c r="E437" t="s">
        <v>559</v>
      </c>
      <c r="F437" t="s">
        <v>49</v>
      </c>
      <c r="G437" t="s">
        <v>560</v>
      </c>
      <c r="H437">
        <v>6.4313030447015793E-2</v>
      </c>
      <c r="I437">
        <v>-2.1161765133595354E-6</v>
      </c>
      <c r="J437">
        <v>8.89</v>
      </c>
      <c r="L437" s="1">
        <v>49035</v>
      </c>
      <c r="M437" s="1">
        <v>43165</v>
      </c>
      <c r="N437" s="1"/>
      <c r="R437">
        <v>-2.9251940194709343E-4</v>
      </c>
      <c r="T437" t="s">
        <v>32</v>
      </c>
      <c r="V437">
        <v>1068093815</v>
      </c>
      <c r="W437" t="s">
        <v>561</v>
      </c>
      <c r="X437" t="s">
        <v>562</v>
      </c>
      <c r="Y437">
        <v>35000</v>
      </c>
      <c r="Z437" t="s">
        <v>31</v>
      </c>
      <c r="AA437">
        <v>-8.8499722304992868E-4</v>
      </c>
      <c r="AB437">
        <v>111.39</v>
      </c>
      <c r="AC437" t="s">
        <v>34</v>
      </c>
      <c r="AE437" t="s">
        <v>41</v>
      </c>
      <c r="AF437">
        <v>9.1314849139223289E-2</v>
      </c>
      <c r="AH437" t="s">
        <v>244</v>
      </c>
      <c r="AJ437">
        <v>7.2343116363347351E-3</v>
      </c>
      <c r="AK437">
        <v>7.2343116363347351E-3</v>
      </c>
      <c r="AL437">
        <v>0</v>
      </c>
      <c r="AN437" t="s">
        <v>50</v>
      </c>
      <c r="AQ437">
        <v>6.606000756980339E-4</v>
      </c>
    </row>
    <row r="438" spans="1:43" x14ac:dyDescent="0.2">
      <c r="A438">
        <v>436</v>
      </c>
      <c r="B438">
        <v>102</v>
      </c>
      <c r="C438">
        <v>7</v>
      </c>
      <c r="D438">
        <v>12500</v>
      </c>
      <c r="E438" t="s">
        <v>565</v>
      </c>
      <c r="F438" t="s">
        <v>49</v>
      </c>
      <c r="G438" t="s">
        <v>566</v>
      </c>
      <c r="H438">
        <v>1.971444096114958E-2</v>
      </c>
      <c r="I438">
        <v>-7.8247713428449887E-7</v>
      </c>
      <c r="J438">
        <v>7.37</v>
      </c>
      <c r="L438" s="1">
        <v>47341</v>
      </c>
      <c r="M438" s="1">
        <v>43165</v>
      </c>
      <c r="N438" s="1"/>
      <c r="R438">
        <v>-2.9251940194709343E-4</v>
      </c>
      <c r="T438" t="s">
        <v>32</v>
      </c>
      <c r="V438">
        <v>394938221</v>
      </c>
      <c r="W438" t="s">
        <v>567</v>
      </c>
      <c r="X438" t="s">
        <v>568</v>
      </c>
      <c r="Y438">
        <v>12500</v>
      </c>
      <c r="Z438" t="s">
        <v>31</v>
      </c>
      <c r="AA438">
        <v>-3.2723645053714596E-4</v>
      </c>
      <c r="AB438">
        <v>116.88</v>
      </c>
      <c r="AC438" t="s">
        <v>34</v>
      </c>
      <c r="AE438" t="s">
        <v>169</v>
      </c>
      <c r="AF438">
        <v>8.9314849139223287E-2</v>
      </c>
      <c r="AH438" t="s">
        <v>244</v>
      </c>
      <c r="AJ438">
        <v>2.6749580679985862E-3</v>
      </c>
      <c r="AK438">
        <v>2.6749580679985862E-3</v>
      </c>
      <c r="AL438">
        <v>0</v>
      </c>
      <c r="AN438" t="s">
        <v>50</v>
      </c>
      <c r="AQ438">
        <v>2.3891347629704192E-4</v>
      </c>
    </row>
    <row r="439" spans="1:43" x14ac:dyDescent="0.2">
      <c r="A439">
        <v>437</v>
      </c>
      <c r="B439">
        <v>102</v>
      </c>
      <c r="C439">
        <v>7</v>
      </c>
      <c r="D439">
        <v>78000</v>
      </c>
      <c r="E439" t="s">
        <v>570</v>
      </c>
      <c r="F439" t="s">
        <v>49</v>
      </c>
      <c r="G439" t="s">
        <v>571</v>
      </c>
      <c r="H439">
        <v>0.11543887950966325</v>
      </c>
      <c r="I439">
        <v>-5.0101056373307525E-6</v>
      </c>
      <c r="J439">
        <v>6.74</v>
      </c>
      <c r="L439" s="1">
        <v>47922</v>
      </c>
      <c r="M439" s="1">
        <v>43165</v>
      </c>
      <c r="R439">
        <v>-2.9251940194709343E-4</v>
      </c>
      <c r="T439" t="s">
        <v>32</v>
      </c>
      <c r="V439">
        <v>2528741251</v>
      </c>
      <c r="W439" t="s">
        <v>572</v>
      </c>
      <c r="X439" t="s">
        <v>573</v>
      </c>
      <c r="Y439">
        <v>78000</v>
      </c>
      <c r="Z439" t="s">
        <v>31</v>
      </c>
      <c r="AA439">
        <v>-2.0952550735880843E-3</v>
      </c>
      <c r="AB439">
        <v>115.22</v>
      </c>
      <c r="AC439" t="s">
        <v>34</v>
      </c>
      <c r="AE439" t="s">
        <v>41</v>
      </c>
      <c r="AF439">
        <v>8.7814849139223286E-2</v>
      </c>
      <c r="AH439" t="s">
        <v>244</v>
      </c>
      <c r="AJ439">
        <v>1.7127430194312055E-2</v>
      </c>
      <c r="AK439">
        <v>1.7127430194312055E-2</v>
      </c>
      <c r="AL439">
        <v>0</v>
      </c>
      <c r="AN439" t="s">
        <v>50</v>
      </c>
      <c r="AQ439">
        <v>1.5040426986560908E-3</v>
      </c>
    </row>
    <row r="440" spans="1:43" x14ac:dyDescent="0.2">
      <c r="A440">
        <v>438</v>
      </c>
      <c r="B440">
        <v>107</v>
      </c>
      <c r="C440">
        <v>7</v>
      </c>
      <c r="D440">
        <v>1135000000</v>
      </c>
      <c r="E440" t="s">
        <v>596</v>
      </c>
      <c r="F440" t="s">
        <v>49</v>
      </c>
      <c r="G440" t="s">
        <v>597</v>
      </c>
      <c r="H440">
        <v>2.2344772210556352E-2</v>
      </c>
      <c r="I440">
        <v>9.3030432777971472E-7</v>
      </c>
      <c r="J440">
        <v>2.86</v>
      </c>
      <c r="L440" s="1">
        <v>44621</v>
      </c>
      <c r="M440" s="1">
        <v>43165</v>
      </c>
      <c r="N440" s="1"/>
      <c r="R440">
        <v>1.1907350642818377E-4</v>
      </c>
      <c r="T440" t="s">
        <v>39</v>
      </c>
      <c r="V440">
        <v>1153511917</v>
      </c>
      <c r="W440" t="s">
        <v>598</v>
      </c>
      <c r="X440" t="s">
        <v>599</v>
      </c>
      <c r="Y440">
        <v>1135000000</v>
      </c>
      <c r="Z440" t="s">
        <v>31</v>
      </c>
      <c r="AA440">
        <v>3.8905863545821227E-4</v>
      </c>
      <c r="AB440">
        <v>101.55</v>
      </c>
      <c r="AC440" t="s">
        <v>33</v>
      </c>
      <c r="AE440" t="s">
        <v>41</v>
      </c>
      <c r="AF440">
        <v>5.4199999999999998E-2</v>
      </c>
      <c r="AH440" t="s">
        <v>244</v>
      </c>
      <c r="AJ440">
        <v>7.8128574162784452E-3</v>
      </c>
      <c r="AK440">
        <v>7.8128574162784452E-3</v>
      </c>
      <c r="AL440">
        <v>0</v>
      </c>
      <c r="AN440" t="s">
        <v>144</v>
      </c>
      <c r="AQ440">
        <v>4.2345687196229171E-4</v>
      </c>
    </row>
    <row r="441" spans="1:43" x14ac:dyDescent="0.2">
      <c r="A441">
        <v>439</v>
      </c>
      <c r="B441">
        <v>102</v>
      </c>
      <c r="C441">
        <v>7</v>
      </c>
      <c r="D441">
        <v>15000</v>
      </c>
      <c r="E441" t="s">
        <v>262</v>
      </c>
      <c r="F441" t="s">
        <v>49</v>
      </c>
      <c r="G441" t="s">
        <v>930</v>
      </c>
      <c r="H441">
        <v>3.1375449250750677E-2</v>
      </c>
      <c r="I441">
        <v>-9.5404653333170151E-7</v>
      </c>
      <c r="J441">
        <v>9.6199999999999992</v>
      </c>
      <c r="L441" s="1">
        <v>47566</v>
      </c>
      <c r="M441" s="1">
        <v>43165</v>
      </c>
      <c r="N441" s="1"/>
      <c r="R441">
        <v>-2.9251940194709343E-4</v>
      </c>
      <c r="T441" t="s">
        <v>32</v>
      </c>
      <c r="V441">
        <v>481534123</v>
      </c>
      <c r="W441" t="s">
        <v>263</v>
      </c>
      <c r="X441" t="s">
        <v>931</v>
      </c>
      <c r="Y441">
        <v>15000</v>
      </c>
      <c r="Z441" t="s">
        <v>31</v>
      </c>
      <c r="AA441">
        <v>-3.9898776275451309E-4</v>
      </c>
      <c r="AB441">
        <v>116.88</v>
      </c>
      <c r="AC441" t="s">
        <v>33</v>
      </c>
      <c r="AE441" t="s">
        <v>168</v>
      </c>
      <c r="AF441">
        <v>9.1014849139223281E-2</v>
      </c>
      <c r="AH441" t="s">
        <v>244</v>
      </c>
      <c r="AJ441">
        <v>3.2614812110967439E-3</v>
      </c>
      <c r="AK441">
        <v>3.2614812110967439E-3</v>
      </c>
      <c r="AL441">
        <v>0</v>
      </c>
      <c r="AN441" t="s">
        <v>144</v>
      </c>
      <c r="AQ441">
        <v>2.9684322039838138E-4</v>
      </c>
    </row>
    <row r="442" spans="1:43" x14ac:dyDescent="0.2">
      <c r="A442">
        <v>440</v>
      </c>
      <c r="B442">
        <v>102</v>
      </c>
      <c r="C442">
        <v>7</v>
      </c>
      <c r="D442">
        <v>15000</v>
      </c>
      <c r="E442" t="s">
        <v>620</v>
      </c>
      <c r="F442" t="s">
        <v>49</v>
      </c>
      <c r="G442" t="s">
        <v>621</v>
      </c>
      <c r="H442">
        <v>1.7171838429699153E-2</v>
      </c>
      <c r="I442">
        <v>-6.9959553033255046E-7</v>
      </c>
      <c r="J442">
        <v>7.18</v>
      </c>
      <c r="L442" s="1">
        <v>49135</v>
      </c>
      <c r="M442" s="1">
        <v>43165</v>
      </c>
      <c r="N442" s="1"/>
      <c r="R442">
        <v>-2.9251940194709343E-4</v>
      </c>
      <c r="T442" t="s">
        <v>32</v>
      </c>
      <c r="V442">
        <v>353105544</v>
      </c>
      <c r="W442" t="s">
        <v>620</v>
      </c>
      <c r="X442" t="s">
        <v>622</v>
      </c>
      <c r="Y442">
        <v>15000</v>
      </c>
      <c r="Z442" t="s">
        <v>31</v>
      </c>
      <c r="AA442">
        <v>-2.9257488574028904E-4</v>
      </c>
      <c r="AB442">
        <v>110.52</v>
      </c>
      <c r="AC442" t="s">
        <v>34</v>
      </c>
      <c r="AE442" t="s">
        <v>41</v>
      </c>
      <c r="AF442">
        <v>8.8814849139223287E-2</v>
      </c>
      <c r="AH442" t="s">
        <v>244</v>
      </c>
      <c r="AJ442">
        <v>2.3916209512115814E-3</v>
      </c>
      <c r="AK442">
        <v>2.3916209512115814E-3</v>
      </c>
      <c r="AL442">
        <v>0</v>
      </c>
      <c r="AN442" t="s">
        <v>50</v>
      </c>
      <c r="AQ442">
        <v>2.1241145398006231E-4</v>
      </c>
    </row>
    <row r="443" spans="1:43" x14ac:dyDescent="0.2">
      <c r="A443">
        <v>441</v>
      </c>
      <c r="B443">
        <v>102</v>
      </c>
      <c r="C443">
        <v>7</v>
      </c>
      <c r="D443">
        <v>75000</v>
      </c>
      <c r="E443" t="s">
        <v>620</v>
      </c>
      <c r="F443" t="s">
        <v>49</v>
      </c>
      <c r="G443" t="s">
        <v>624</v>
      </c>
      <c r="H443">
        <v>0.11554882804449021</v>
      </c>
      <c r="I443">
        <v>-3.8717381529509521E-6</v>
      </c>
      <c r="J443">
        <v>8.73</v>
      </c>
      <c r="L443" s="1">
        <v>50895</v>
      </c>
      <c r="M443" s="1">
        <v>43165</v>
      </c>
      <c r="N443" s="1"/>
      <c r="R443">
        <v>-2.9251940194709343E-4</v>
      </c>
      <c r="T443" t="s">
        <v>32</v>
      </c>
      <c r="V443">
        <v>1954175159</v>
      </c>
      <c r="W443" t="s">
        <v>620</v>
      </c>
      <c r="X443" t="s">
        <v>622</v>
      </c>
      <c r="Y443">
        <v>75000</v>
      </c>
      <c r="Z443" t="s">
        <v>31</v>
      </c>
      <c r="AA443">
        <v>-1.6191832260241605E-3</v>
      </c>
      <c r="AB443">
        <v>111.03</v>
      </c>
      <c r="AC443" t="s">
        <v>34</v>
      </c>
      <c r="AE443" t="s">
        <v>41</v>
      </c>
      <c r="AF443">
        <v>9.0314849139223288E-2</v>
      </c>
      <c r="AH443" t="s">
        <v>244</v>
      </c>
      <c r="AJ443">
        <v>1.3235833682072188E-2</v>
      </c>
      <c r="AK443">
        <v>1.3235833682072188E-2</v>
      </c>
      <c r="AL443">
        <v>0</v>
      </c>
      <c r="AN443" t="s">
        <v>50</v>
      </c>
      <c r="AQ443">
        <v>1.1953923222281998E-3</v>
      </c>
    </row>
    <row r="444" spans="1:43" x14ac:dyDescent="0.2">
      <c r="A444">
        <v>442</v>
      </c>
      <c r="B444">
        <v>102</v>
      </c>
      <c r="C444">
        <v>7</v>
      </c>
      <c r="D444">
        <v>20000</v>
      </c>
      <c r="E444" t="s">
        <v>620</v>
      </c>
      <c r="F444" t="s">
        <v>49</v>
      </c>
      <c r="G444" t="s">
        <v>933</v>
      </c>
      <c r="H444">
        <v>4.6984359362520108E-2</v>
      </c>
      <c r="I444">
        <v>-1.1726823124225003E-6</v>
      </c>
      <c r="J444">
        <v>11.72</v>
      </c>
      <c r="L444" s="1">
        <v>51196</v>
      </c>
      <c r="M444" s="1">
        <v>43165</v>
      </c>
      <c r="N444" s="1"/>
      <c r="R444">
        <v>-2.9251940194709343E-4</v>
      </c>
      <c r="T444" t="s">
        <v>32</v>
      </c>
      <c r="V444">
        <v>591885751</v>
      </c>
      <c r="W444" t="s">
        <v>620</v>
      </c>
      <c r="X444" t="s">
        <v>622</v>
      </c>
      <c r="Y444">
        <v>20000</v>
      </c>
      <c r="Z444" t="s">
        <v>31</v>
      </c>
      <c r="AA444">
        <v>-4.9042250656401525E-4</v>
      </c>
      <c r="AB444">
        <v>109.74</v>
      </c>
      <c r="AC444" t="s">
        <v>34</v>
      </c>
      <c r="AE444" t="s">
        <v>41</v>
      </c>
      <c r="AF444">
        <v>9.1714849139223287E-2</v>
      </c>
      <c r="AH444" t="s">
        <v>244</v>
      </c>
      <c r="AJ444">
        <v>4.008904382467586E-3</v>
      </c>
      <c r="AK444">
        <v>4.008904382467586E-3</v>
      </c>
      <c r="AL444">
        <v>0</v>
      </c>
      <c r="AN444" t="s">
        <v>50</v>
      </c>
      <c r="AQ444">
        <v>3.6767606065158574E-4</v>
      </c>
    </row>
    <row r="445" spans="1:43" x14ac:dyDescent="0.2">
      <c r="A445">
        <v>443</v>
      </c>
      <c r="B445">
        <v>96</v>
      </c>
      <c r="C445">
        <v>7</v>
      </c>
      <c r="D445">
        <v>50000</v>
      </c>
      <c r="E445" t="s">
        <v>332</v>
      </c>
      <c r="F445" t="s">
        <v>49</v>
      </c>
      <c r="G445" t="s">
        <v>375</v>
      </c>
      <c r="H445">
        <v>2.1420753314421552E-2</v>
      </c>
      <c r="I445">
        <v>-1.1108589825339013E-5</v>
      </c>
      <c r="J445">
        <v>2.25</v>
      </c>
      <c r="L445" s="1">
        <v>44013</v>
      </c>
      <c r="M445" s="1">
        <v>43165</v>
      </c>
      <c r="N445" s="1"/>
      <c r="R445">
        <v>-1.1668276432736525E-3</v>
      </c>
      <c r="T445" t="s">
        <v>32</v>
      </c>
      <c r="V445">
        <v>1405608610</v>
      </c>
      <c r="W445" t="s">
        <v>276</v>
      </c>
      <c r="X445" t="s">
        <v>334</v>
      </c>
      <c r="Y445">
        <v>50000</v>
      </c>
      <c r="Z445" t="s">
        <v>31</v>
      </c>
      <c r="AA445">
        <v>-4.6456763343519034E-3</v>
      </c>
      <c r="AB445">
        <v>103.75</v>
      </c>
      <c r="AC445" t="s">
        <v>33</v>
      </c>
      <c r="AE445" t="s">
        <v>41</v>
      </c>
      <c r="AF445">
        <v>7.8514849139223283E-2</v>
      </c>
      <c r="AH445" t="s">
        <v>244</v>
      </c>
      <c r="AJ445">
        <v>9.5203348064095781E-3</v>
      </c>
      <c r="AK445">
        <v>9.5203348064095781E-3</v>
      </c>
      <c r="AL445">
        <v>0</v>
      </c>
      <c r="AN445" t="s">
        <v>144</v>
      </c>
      <c r="AQ445">
        <v>7.4748765108014457E-4</v>
      </c>
    </row>
    <row r="446" spans="1:43" x14ac:dyDescent="0.2">
      <c r="A446">
        <v>444</v>
      </c>
      <c r="B446">
        <v>95</v>
      </c>
      <c r="C446">
        <v>7</v>
      </c>
      <c r="D446">
        <v>30000</v>
      </c>
      <c r="E446" t="s">
        <v>363</v>
      </c>
      <c r="F446" t="s">
        <v>49</v>
      </c>
      <c r="G446" t="s">
        <v>364</v>
      </c>
      <c r="H446">
        <v>6.1250194259214932E-3</v>
      </c>
      <c r="I446">
        <v>-5.6614507430484338E-6</v>
      </c>
      <c r="J446">
        <v>1.8</v>
      </c>
      <c r="L446" s="1">
        <v>44377</v>
      </c>
      <c r="M446" s="1">
        <v>43165</v>
      </c>
      <c r="R446">
        <v>-1.6637680028180532E-3</v>
      </c>
      <c r="T446" t="s">
        <v>32</v>
      </c>
      <c r="V446">
        <v>502397133</v>
      </c>
      <c r="W446" t="s">
        <v>365</v>
      </c>
      <c r="X446" t="s">
        <v>366</v>
      </c>
      <c r="Y446">
        <v>30000</v>
      </c>
      <c r="Z446" t="s">
        <v>31</v>
      </c>
      <c r="AA446">
        <v>-2.3676513534674907E-3</v>
      </c>
      <c r="AB446">
        <v>102.17</v>
      </c>
      <c r="AC446" t="s">
        <v>42</v>
      </c>
      <c r="AE446" t="s">
        <v>167</v>
      </c>
      <c r="AF446">
        <v>8.2214849139223278E-2</v>
      </c>
      <c r="AH446" t="s">
        <v>244</v>
      </c>
      <c r="AJ446">
        <v>3.4027885699563849E-3</v>
      </c>
      <c r="AK446">
        <v>3.4027885699563849E-3</v>
      </c>
      <c r="AL446">
        <v>0</v>
      </c>
      <c r="AN446" t="s">
        <v>138</v>
      </c>
      <c r="AQ446">
        <v>2.7975974893163749E-4</v>
      </c>
    </row>
    <row r="447" spans="1:43" x14ac:dyDescent="0.2">
      <c r="A447">
        <v>445</v>
      </c>
      <c r="B447">
        <v>127</v>
      </c>
      <c r="C447">
        <v>7</v>
      </c>
      <c r="F447" t="s">
        <v>49</v>
      </c>
      <c r="G447" t="s">
        <v>1043</v>
      </c>
      <c r="I447">
        <v>2.0232762919515E-4</v>
      </c>
      <c r="J447">
        <v>7.6042017854038999</v>
      </c>
      <c r="K447">
        <v>7.6042017854038999</v>
      </c>
      <c r="L447" s="1"/>
      <c r="M447" s="1"/>
      <c r="N447" s="1">
        <v>43164</v>
      </c>
      <c r="R447">
        <v>-1.2254578206976457E-2</v>
      </c>
      <c r="S447">
        <v>-1.2254578206976457E-2</v>
      </c>
      <c r="T447" t="s">
        <v>32</v>
      </c>
      <c r="U447" t="s">
        <v>32</v>
      </c>
      <c r="AA447">
        <v>8.4614581465001587E-2</v>
      </c>
      <c r="AC447" t="s">
        <v>142</v>
      </c>
      <c r="AD447" t="s">
        <v>142</v>
      </c>
      <c r="AF447">
        <v>3.06</v>
      </c>
      <c r="AG447">
        <v>3.06</v>
      </c>
      <c r="AH447" t="s">
        <v>244</v>
      </c>
      <c r="AI447" t="s">
        <v>244</v>
      </c>
      <c r="AJ447">
        <v>-1.6510370718428001E-2</v>
      </c>
      <c r="AK447">
        <v>0</v>
      </c>
      <c r="AL447">
        <v>1.6510370718428001E-2</v>
      </c>
      <c r="AN447" t="s">
        <v>142</v>
      </c>
      <c r="AO447" t="s">
        <v>142</v>
      </c>
    </row>
    <row r="448" spans="1:43" x14ac:dyDescent="0.2">
      <c r="A448">
        <v>446</v>
      </c>
      <c r="B448">
        <v>124</v>
      </c>
      <c r="C448">
        <v>7</v>
      </c>
      <c r="D448">
        <v>69000</v>
      </c>
      <c r="E448" t="s">
        <v>290</v>
      </c>
      <c r="F448" t="s">
        <v>49</v>
      </c>
      <c r="G448" t="s">
        <v>944</v>
      </c>
      <c r="H448">
        <v>3.8207158624286808E-2</v>
      </c>
      <c r="I448">
        <v>-2.041335370430768E-5</v>
      </c>
      <c r="J448">
        <v>2.84</v>
      </c>
      <c r="K448">
        <v>2.8441139780036999</v>
      </c>
      <c r="L448" s="1">
        <v>44280</v>
      </c>
      <c r="M448" s="1">
        <v>43165</v>
      </c>
      <c r="N448" s="1">
        <v>43164</v>
      </c>
      <c r="R448">
        <v>-3.9405654094077473E-3</v>
      </c>
      <c r="S448">
        <v>-3.9405654094077473E-3</v>
      </c>
      <c r="T448" t="s">
        <v>32</v>
      </c>
      <c r="U448" t="s">
        <v>32</v>
      </c>
      <c r="V448">
        <v>1986271396</v>
      </c>
      <c r="W448" t="s">
        <v>291</v>
      </c>
      <c r="X448" t="s">
        <v>940</v>
      </c>
      <c r="Y448">
        <v>69000</v>
      </c>
      <c r="Z448" t="s">
        <v>31</v>
      </c>
      <c r="AA448">
        <v>-8.5369822542676159E-3</v>
      </c>
      <c r="AB448">
        <v>104.74</v>
      </c>
      <c r="AC448" t="s">
        <v>150</v>
      </c>
      <c r="AD448" t="s">
        <v>142</v>
      </c>
      <c r="AE448" t="s">
        <v>35</v>
      </c>
      <c r="AF448">
        <v>9.3114849139223285E-2</v>
      </c>
      <c r="AG448">
        <v>2.8</v>
      </c>
      <c r="AH448" t="s">
        <v>244</v>
      </c>
      <c r="AI448" t="s">
        <v>244</v>
      </c>
      <c r="AJ448">
        <v>5.180310839549224E-3</v>
      </c>
      <c r="AK448">
        <v>1.3453224867706623E-2</v>
      </c>
      <c r="AL448">
        <v>8.2729140281573993E-3</v>
      </c>
      <c r="AM448" t="s">
        <v>35</v>
      </c>
      <c r="AN448" t="s">
        <v>445</v>
      </c>
      <c r="AO448" t="s">
        <v>142</v>
      </c>
      <c r="AP448" t="s">
        <v>31</v>
      </c>
      <c r="AQ448">
        <v>1.2526950039925494E-3</v>
      </c>
    </row>
    <row r="449" spans="1:43" x14ac:dyDescent="0.2">
      <c r="A449">
        <v>447</v>
      </c>
      <c r="B449">
        <v>124</v>
      </c>
      <c r="C449">
        <v>7</v>
      </c>
      <c r="D449">
        <v>72500</v>
      </c>
      <c r="E449" t="s">
        <v>290</v>
      </c>
      <c r="F449" t="s">
        <v>49</v>
      </c>
      <c r="G449" t="s">
        <v>945</v>
      </c>
      <c r="H449">
        <v>4.0145202904281786E-2</v>
      </c>
      <c r="I449">
        <v>-2.3102434778831888E-5</v>
      </c>
      <c r="J449">
        <v>2.84</v>
      </c>
      <c r="K449">
        <v>2.8441139780036999</v>
      </c>
      <c r="L449" s="1">
        <v>44280</v>
      </c>
      <c r="M449" s="1">
        <v>43165</v>
      </c>
      <c r="N449" s="1">
        <v>43164</v>
      </c>
      <c r="R449">
        <v>-3.9405654094077473E-3</v>
      </c>
      <c r="S449">
        <v>-3.9405654094077473E-3</v>
      </c>
      <c r="T449" t="s">
        <v>32</v>
      </c>
      <c r="U449" t="s">
        <v>32</v>
      </c>
      <c r="V449">
        <v>2087024293</v>
      </c>
      <c r="W449" t="s">
        <v>291</v>
      </c>
      <c r="X449" t="s">
        <v>940</v>
      </c>
      <c r="Y449">
        <v>72500</v>
      </c>
      <c r="Z449" t="s">
        <v>31</v>
      </c>
      <c r="AA449">
        <v>-9.6615714690547819E-3</v>
      </c>
      <c r="AB449">
        <v>104.74</v>
      </c>
      <c r="AC449" t="s">
        <v>150</v>
      </c>
      <c r="AD449" t="s">
        <v>142</v>
      </c>
      <c r="AE449" t="s">
        <v>35</v>
      </c>
      <c r="AF449">
        <v>9.3114849139223285E-2</v>
      </c>
      <c r="AG449">
        <v>2.8</v>
      </c>
      <c r="AH449" t="s">
        <v>244</v>
      </c>
      <c r="AI449" t="s">
        <v>244</v>
      </c>
      <c r="AJ449">
        <v>5.8627207972939341E-3</v>
      </c>
      <c r="AK449">
        <v>1.4135634825451333E-2</v>
      </c>
      <c r="AL449">
        <v>8.2729140281573993E-3</v>
      </c>
      <c r="AM449" t="s">
        <v>35</v>
      </c>
      <c r="AN449" t="s">
        <v>445</v>
      </c>
      <c r="AO449" t="s">
        <v>142</v>
      </c>
      <c r="AP449" t="s">
        <v>31</v>
      </c>
      <c r="AQ449">
        <v>1.3162375042590519E-3</v>
      </c>
    </row>
    <row r="450" spans="1:43" x14ac:dyDescent="0.2">
      <c r="A450">
        <v>448</v>
      </c>
      <c r="B450">
        <v>123</v>
      </c>
      <c r="C450">
        <v>7</v>
      </c>
      <c r="D450">
        <v>40000</v>
      </c>
      <c r="E450" t="s">
        <v>290</v>
      </c>
      <c r="F450" t="s">
        <v>49</v>
      </c>
      <c r="G450" t="s">
        <v>939</v>
      </c>
      <c r="H450">
        <v>1.1308056508292641E-2</v>
      </c>
      <c r="I450">
        <v>-2.8689683972445452E-6</v>
      </c>
      <c r="J450">
        <v>1.51</v>
      </c>
      <c r="K450">
        <v>1.5156012303549</v>
      </c>
      <c r="L450" s="1">
        <v>43733</v>
      </c>
      <c r="M450" s="1">
        <v>43165</v>
      </c>
      <c r="N450" s="1">
        <v>43164</v>
      </c>
      <c r="R450">
        <v>-1.309528310656647E-3</v>
      </c>
      <c r="S450">
        <v>-1.309528310656647E-3</v>
      </c>
      <c r="T450" t="s">
        <v>32</v>
      </c>
      <c r="U450" t="s">
        <v>32</v>
      </c>
      <c r="V450">
        <v>1105664103</v>
      </c>
      <c r="W450" t="s">
        <v>291</v>
      </c>
      <c r="X450" t="s">
        <v>940</v>
      </c>
      <c r="Y450">
        <v>40000</v>
      </c>
      <c r="Z450" t="s">
        <v>31</v>
      </c>
      <c r="AA450">
        <v>-1.1998191306587145E-3</v>
      </c>
      <c r="AB450">
        <v>101.21</v>
      </c>
      <c r="AC450" t="s">
        <v>150</v>
      </c>
      <c r="AD450" t="s">
        <v>142</v>
      </c>
      <c r="AE450" t="s">
        <v>35</v>
      </c>
      <c r="AF450">
        <v>8.6814849139223285E-2</v>
      </c>
      <c r="AG450">
        <v>2.16</v>
      </c>
      <c r="AH450" t="s">
        <v>244</v>
      </c>
      <c r="AI450" t="s">
        <v>244</v>
      </c>
      <c r="AJ450">
        <v>2.1908410638376624E-3</v>
      </c>
      <c r="AK450">
        <v>7.4887791445646624E-3</v>
      </c>
      <c r="AL450">
        <v>5.297938080727E-3</v>
      </c>
      <c r="AM450" t="s">
        <v>35</v>
      </c>
      <c r="AN450" t="s">
        <v>445</v>
      </c>
      <c r="AO450" t="s">
        <v>142</v>
      </c>
      <c r="AP450" t="s">
        <v>31</v>
      </c>
      <c r="AQ450">
        <v>6.5013723167234273E-4</v>
      </c>
    </row>
    <row r="451" spans="1:43" x14ac:dyDescent="0.2">
      <c r="A451">
        <v>449</v>
      </c>
      <c r="B451">
        <v>102</v>
      </c>
      <c r="C451">
        <v>7</v>
      </c>
      <c r="D451">
        <v>3000</v>
      </c>
      <c r="E451" t="s">
        <v>266</v>
      </c>
      <c r="F451" t="s">
        <v>49</v>
      </c>
      <c r="G451" t="s">
        <v>932</v>
      </c>
      <c r="H451">
        <v>6.4933419411122729E-3</v>
      </c>
      <c r="I451">
        <v>-1.7035233195086465E-7</v>
      </c>
      <c r="J451">
        <v>11.15</v>
      </c>
      <c r="L451" s="1">
        <v>50649</v>
      </c>
      <c r="M451" s="1">
        <v>43165</v>
      </c>
      <c r="N451" s="1"/>
      <c r="R451">
        <v>-2.9251940194709343E-4</v>
      </c>
      <c r="T451" t="s">
        <v>32</v>
      </c>
      <c r="V451">
        <v>85981614</v>
      </c>
      <c r="W451" t="s">
        <v>267</v>
      </c>
      <c r="X451" t="s">
        <v>341</v>
      </c>
      <c r="Y451">
        <v>3000</v>
      </c>
      <c r="Z451" t="s">
        <v>31</v>
      </c>
      <c r="AA451">
        <v>-7.1242327738178007E-5</v>
      </c>
      <c r="AB451">
        <v>106.29</v>
      </c>
      <c r="AC451" t="s">
        <v>34</v>
      </c>
      <c r="AE451" t="s">
        <v>35</v>
      </c>
      <c r="AF451">
        <v>9.231484913922329E-2</v>
      </c>
      <c r="AH451" t="s">
        <v>244</v>
      </c>
      <c r="AJ451">
        <v>5.823625059293518E-4</v>
      </c>
      <c r="AK451">
        <v>5.823625059293518E-4</v>
      </c>
      <c r="AL451">
        <v>0</v>
      </c>
      <c r="AN451" t="s">
        <v>50</v>
      </c>
      <c r="AQ451">
        <v>5.3760706879208142E-5</v>
      </c>
    </row>
    <row r="452" spans="1:43" x14ac:dyDescent="0.2">
      <c r="A452">
        <v>450</v>
      </c>
      <c r="B452">
        <v>87</v>
      </c>
      <c r="C452">
        <v>7</v>
      </c>
      <c r="F452" t="s">
        <v>49</v>
      </c>
      <c r="G452" t="s">
        <v>987</v>
      </c>
      <c r="I452">
        <v>2.1298727682384885E-6</v>
      </c>
      <c r="J452">
        <v>0.60252355206563002</v>
      </c>
      <c r="K452">
        <v>0.60252355206563002</v>
      </c>
      <c r="L452" s="1"/>
      <c r="M452" s="1"/>
      <c r="N452" s="1">
        <v>43164</v>
      </c>
      <c r="R452">
        <v>-1.6969714714083685E-3</v>
      </c>
      <c r="S452">
        <v>-1.6969714714083685E-3</v>
      </c>
      <c r="T452" t="s">
        <v>32</v>
      </c>
      <c r="U452" t="s">
        <v>32</v>
      </c>
      <c r="AA452">
        <v>8.9072507583420077E-4</v>
      </c>
      <c r="AC452" t="s">
        <v>146</v>
      </c>
      <c r="AD452" t="s">
        <v>146</v>
      </c>
      <c r="AF452">
        <v>2.93</v>
      </c>
      <c r="AG452">
        <v>2.93</v>
      </c>
      <c r="AH452" t="s">
        <v>244</v>
      </c>
      <c r="AI452" t="s">
        <v>244</v>
      </c>
      <c r="AJ452">
        <v>-1.2551022831697001E-3</v>
      </c>
      <c r="AK452">
        <v>0</v>
      </c>
      <c r="AL452">
        <v>1.2551022831697001E-3</v>
      </c>
      <c r="AN452" t="s">
        <v>146</v>
      </c>
      <c r="AO452" t="s">
        <v>146</v>
      </c>
    </row>
    <row r="453" spans="1:43" x14ac:dyDescent="0.2">
      <c r="A453">
        <v>451</v>
      </c>
      <c r="B453">
        <v>90</v>
      </c>
      <c r="C453">
        <v>7</v>
      </c>
      <c r="D453">
        <v>31000</v>
      </c>
      <c r="E453" t="s">
        <v>832</v>
      </c>
      <c r="F453" t="s">
        <v>49</v>
      </c>
      <c r="G453" t="s">
        <v>875</v>
      </c>
      <c r="H453">
        <v>3.9631384245257036E-2</v>
      </c>
      <c r="I453">
        <v>-3.9629106380050852E-6</v>
      </c>
      <c r="J453">
        <v>5.9</v>
      </c>
      <c r="L453" s="1">
        <v>47596</v>
      </c>
      <c r="M453" s="1">
        <v>43165</v>
      </c>
      <c r="N453" s="1"/>
      <c r="R453">
        <v>-5.8996608898484774E-4</v>
      </c>
      <c r="T453" t="s">
        <v>32</v>
      </c>
      <c r="V453">
        <v>991743624</v>
      </c>
      <c r="W453" t="s">
        <v>834</v>
      </c>
      <c r="X453" t="s">
        <v>835</v>
      </c>
      <c r="Y453">
        <v>31000</v>
      </c>
      <c r="Z453" t="s">
        <v>31</v>
      </c>
      <c r="AA453">
        <v>-1.6573120851160581E-3</v>
      </c>
      <c r="AB453">
        <v>116.52</v>
      </c>
      <c r="AC453" t="s">
        <v>51</v>
      </c>
      <c r="AE453" t="s">
        <v>35</v>
      </c>
      <c r="AF453">
        <v>8.891484913922329E-2</v>
      </c>
      <c r="AH453" t="s">
        <v>244</v>
      </c>
      <c r="AJ453">
        <v>6.7171837703825484E-3</v>
      </c>
      <c r="AK453">
        <v>6.7171837703825484E-3</v>
      </c>
      <c r="AL453">
        <v>0</v>
      </c>
      <c r="AN453" t="s">
        <v>145</v>
      </c>
      <c r="AQ453">
        <v>5.9725738158400335E-4</v>
      </c>
    </row>
    <row r="454" spans="1:43" x14ac:dyDescent="0.2">
      <c r="A454">
        <v>452</v>
      </c>
      <c r="B454">
        <v>87</v>
      </c>
      <c r="C454">
        <v>7</v>
      </c>
      <c r="D454">
        <v>60000000</v>
      </c>
      <c r="E454" t="s">
        <v>832</v>
      </c>
      <c r="F454" t="s">
        <v>49</v>
      </c>
      <c r="G454" t="s">
        <v>833</v>
      </c>
      <c r="H454">
        <v>1.4110080407995487E-4</v>
      </c>
      <c r="I454">
        <v>8.8042713082225404E-6</v>
      </c>
      <c r="J454">
        <v>0.67</v>
      </c>
      <c r="K454">
        <v>0.67976741651210004</v>
      </c>
      <c r="L454" s="1">
        <v>43600</v>
      </c>
      <c r="M454" s="1">
        <v>43165</v>
      </c>
      <c r="N454" s="1">
        <v>43164</v>
      </c>
      <c r="R454">
        <v>-1.6969714714083685E-3</v>
      </c>
      <c r="S454">
        <v>-1.6969714714083685E-3</v>
      </c>
      <c r="T454" t="s">
        <v>39</v>
      </c>
      <c r="U454" t="s">
        <v>39</v>
      </c>
      <c r="V454">
        <v>31093304</v>
      </c>
      <c r="W454" t="s">
        <v>834</v>
      </c>
      <c r="X454" t="s">
        <v>835</v>
      </c>
      <c r="Y454">
        <v>60000000</v>
      </c>
      <c r="Z454" t="s">
        <v>31</v>
      </c>
      <c r="AA454">
        <v>3.681997040211599E-3</v>
      </c>
      <c r="AB454">
        <v>101.7</v>
      </c>
      <c r="AC454" t="s">
        <v>51</v>
      </c>
      <c r="AD454" t="s">
        <v>51</v>
      </c>
      <c r="AE454" t="s">
        <v>35</v>
      </c>
      <c r="AF454">
        <v>3.7900000000000003E-2</v>
      </c>
      <c r="AG454">
        <v>3.82</v>
      </c>
      <c r="AH454" t="s">
        <v>244</v>
      </c>
      <c r="AI454" t="s">
        <v>244</v>
      </c>
      <c r="AJ454">
        <v>-5.1882258815556907E-3</v>
      </c>
      <c r="AK454">
        <v>2.1059821504470873E-4</v>
      </c>
      <c r="AL454">
        <v>5.3988240966003995E-3</v>
      </c>
      <c r="AM454" t="s">
        <v>35</v>
      </c>
      <c r="AN454" t="s">
        <v>145</v>
      </c>
      <c r="AO454" t="s">
        <v>51</v>
      </c>
      <c r="AP454" t="s">
        <v>31</v>
      </c>
      <c r="AQ454">
        <v>7.981672350194461E-6</v>
      </c>
    </row>
    <row r="455" spans="1:43" x14ac:dyDescent="0.2">
      <c r="A455">
        <v>453</v>
      </c>
      <c r="B455">
        <v>91</v>
      </c>
      <c r="C455">
        <v>7</v>
      </c>
      <c r="D455">
        <v>43500</v>
      </c>
      <c r="E455" t="s">
        <v>832</v>
      </c>
      <c r="F455" t="s">
        <v>49</v>
      </c>
      <c r="G455" t="s">
        <v>894</v>
      </c>
      <c r="H455">
        <v>9.4974204072209439E-2</v>
      </c>
      <c r="I455">
        <v>-4.4559534891005903E-5</v>
      </c>
      <c r="J455">
        <v>11.23</v>
      </c>
      <c r="L455" s="1">
        <v>49444</v>
      </c>
      <c r="M455" s="1">
        <v>43165</v>
      </c>
      <c r="N455" s="1"/>
      <c r="R455">
        <v>-5.2688367511407258E-3</v>
      </c>
      <c r="T455" t="s">
        <v>32</v>
      </c>
      <c r="V455">
        <v>1248642444</v>
      </c>
      <c r="W455" t="s">
        <v>834</v>
      </c>
      <c r="X455" t="s">
        <v>835</v>
      </c>
      <c r="Y455">
        <v>43500</v>
      </c>
      <c r="Z455" t="s">
        <v>31</v>
      </c>
      <c r="AA455">
        <v>-1.8635054490956194E-2</v>
      </c>
      <c r="AB455">
        <v>105.29</v>
      </c>
      <c r="AC455" t="s">
        <v>51</v>
      </c>
      <c r="AE455" t="s">
        <v>35</v>
      </c>
      <c r="AF455">
        <v>9.8214849139223293E-2</v>
      </c>
      <c r="AH455" t="s">
        <v>244</v>
      </c>
      <c r="AJ455">
        <v>8.4571864712564056E-3</v>
      </c>
      <c r="AK455">
        <v>8.4571864712564056E-3</v>
      </c>
      <c r="AL455">
        <v>0</v>
      </c>
      <c r="AN455" t="s">
        <v>145</v>
      </c>
      <c r="AQ455">
        <v>8.3062129341672812E-4</v>
      </c>
    </row>
    <row r="456" spans="1:43" x14ac:dyDescent="0.2">
      <c r="A456">
        <v>454</v>
      </c>
      <c r="B456">
        <v>102</v>
      </c>
      <c r="C456">
        <v>7</v>
      </c>
      <c r="D456">
        <v>75000</v>
      </c>
      <c r="E456" t="s">
        <v>648</v>
      </c>
      <c r="F456" t="s">
        <v>49</v>
      </c>
      <c r="G456" t="s">
        <v>649</v>
      </c>
      <c r="H456">
        <v>9.6903343727666041E-2</v>
      </c>
      <c r="I456">
        <v>-4.162424104829736E-6</v>
      </c>
      <c r="J456">
        <v>6.81</v>
      </c>
      <c r="L456" s="1">
        <v>45901</v>
      </c>
      <c r="M456" s="1">
        <v>43165</v>
      </c>
      <c r="N456" s="1"/>
      <c r="R456">
        <v>-2.9251940194709343E-4</v>
      </c>
      <c r="T456" t="s">
        <v>32</v>
      </c>
      <c r="V456">
        <v>2100892536</v>
      </c>
      <c r="W456" t="s">
        <v>648</v>
      </c>
      <c r="X456" t="s">
        <v>650</v>
      </c>
      <c r="Y456">
        <v>75000</v>
      </c>
      <c r="Z456" t="s">
        <v>31</v>
      </c>
      <c r="AA456">
        <v>-1.7407497676468827E-3</v>
      </c>
      <c r="AB456">
        <v>103.89</v>
      </c>
      <c r="AC456" t="s">
        <v>34</v>
      </c>
      <c r="AE456" t="s">
        <v>166</v>
      </c>
      <c r="AF456">
        <v>8.8214849139223284E-2</v>
      </c>
      <c r="AH456" t="s">
        <v>244</v>
      </c>
      <c r="AJ456">
        <v>1.4229565892461975E-2</v>
      </c>
      <c r="AK456">
        <v>1.4229565892461975E-2</v>
      </c>
      <c r="AL456">
        <v>0</v>
      </c>
      <c r="AN456" t="s">
        <v>50</v>
      </c>
      <c r="AQ456">
        <v>1.2552590085201704E-3</v>
      </c>
    </row>
    <row r="457" spans="1:43" x14ac:dyDescent="0.2">
      <c r="A457">
        <v>455</v>
      </c>
      <c r="B457">
        <v>125</v>
      </c>
      <c r="C457">
        <v>7</v>
      </c>
      <c r="D457">
        <v>1000</v>
      </c>
      <c r="E457" t="s">
        <v>946</v>
      </c>
      <c r="F457" t="s">
        <v>49</v>
      </c>
      <c r="G457" t="s">
        <v>949</v>
      </c>
      <c r="H457">
        <v>5.5449901232913963E-4</v>
      </c>
      <c r="I457">
        <v>2.7887500250158198E-5</v>
      </c>
      <c r="J457">
        <v>3.08</v>
      </c>
      <c r="K457">
        <v>3.0812006457274999</v>
      </c>
      <c r="L457" s="1">
        <v>45463</v>
      </c>
      <c r="M457" s="1">
        <v>43165</v>
      </c>
      <c r="N457" s="1">
        <v>43164</v>
      </c>
      <c r="R457">
        <v>-2.3519489473039345E-3</v>
      </c>
      <c r="S457">
        <v>-2.3519489473039345E-3</v>
      </c>
      <c r="T457" t="s">
        <v>32</v>
      </c>
      <c r="U457" t="s">
        <v>32</v>
      </c>
      <c r="V457">
        <v>26580445</v>
      </c>
      <c r="W457" t="s">
        <v>947</v>
      </c>
      <c r="X457" t="s">
        <v>948</v>
      </c>
      <c r="Y457">
        <v>1000</v>
      </c>
      <c r="Z457" t="s">
        <v>31</v>
      </c>
      <c r="AA457">
        <v>1.166271344728843E-2</v>
      </c>
      <c r="AB457">
        <v>105.29</v>
      </c>
      <c r="AC457" t="s">
        <v>142</v>
      </c>
      <c r="AD457" t="s">
        <v>50</v>
      </c>
      <c r="AE457" t="s">
        <v>157</v>
      </c>
      <c r="AF457">
        <v>9.001484913922328E-2</v>
      </c>
      <c r="AG457">
        <v>2.5099999999999998</v>
      </c>
      <c r="AH457" t="s">
        <v>244</v>
      </c>
      <c r="AI457" t="s">
        <v>244</v>
      </c>
      <c r="AJ457">
        <v>-1.1857187751513889E-2</v>
      </c>
      <c r="AK457">
        <v>1.8003214686011025E-4</v>
      </c>
      <c r="AL457">
        <v>1.2037219898374E-2</v>
      </c>
      <c r="AM457" t="s">
        <v>157</v>
      </c>
      <c r="AN457" t="s">
        <v>150</v>
      </c>
      <c r="AO457" t="s">
        <v>50</v>
      </c>
      <c r="AP457" t="s">
        <v>31</v>
      </c>
      <c r="AQ457">
        <v>1.6205566539823316E-5</v>
      </c>
    </row>
    <row r="458" spans="1:43" x14ac:dyDescent="0.2">
      <c r="A458">
        <v>456</v>
      </c>
      <c r="B458">
        <v>123</v>
      </c>
      <c r="C458">
        <v>7</v>
      </c>
      <c r="F458" t="s">
        <v>49</v>
      </c>
      <c r="G458" t="s">
        <v>988</v>
      </c>
      <c r="I458">
        <v>1.2198167715506492E-5</v>
      </c>
      <c r="J458">
        <v>1.5414928168738999</v>
      </c>
      <c r="K458">
        <v>1.5414928168738999</v>
      </c>
      <c r="L458" s="1"/>
      <c r="M458" s="1"/>
      <c r="N458" s="1">
        <v>43164</v>
      </c>
      <c r="R458">
        <v>-1.309528310656647E-3</v>
      </c>
      <c r="S458">
        <v>-1.309528310656647E-3</v>
      </c>
      <c r="T458" t="s">
        <v>32</v>
      </c>
      <c r="U458" t="s">
        <v>32</v>
      </c>
      <c r="AA458">
        <v>5.1013440922195999E-3</v>
      </c>
      <c r="AC458" t="s">
        <v>50</v>
      </c>
      <c r="AD458" t="s">
        <v>50</v>
      </c>
      <c r="AF458">
        <v>5.49</v>
      </c>
      <c r="AG458">
        <v>5.49</v>
      </c>
      <c r="AH458" t="s">
        <v>244</v>
      </c>
      <c r="AI458" t="s">
        <v>244</v>
      </c>
      <c r="AJ458">
        <v>-9.3149324197427004E-3</v>
      </c>
      <c r="AK458">
        <v>0</v>
      </c>
      <c r="AL458">
        <v>9.3149324197427004E-3</v>
      </c>
      <c r="AN458" t="s">
        <v>50</v>
      </c>
      <c r="AO458" t="s">
        <v>50</v>
      </c>
    </row>
    <row r="459" spans="1:43" x14ac:dyDescent="0.2">
      <c r="A459">
        <v>457</v>
      </c>
      <c r="B459">
        <v>87</v>
      </c>
      <c r="C459">
        <v>7</v>
      </c>
      <c r="D459">
        <v>10500</v>
      </c>
      <c r="E459" t="s">
        <v>299</v>
      </c>
      <c r="F459" t="s">
        <v>49</v>
      </c>
      <c r="G459" t="s">
        <v>300</v>
      </c>
      <c r="H459">
        <v>1.7569943322688925E-3</v>
      </c>
      <c r="I459">
        <v>-1.9745491770109313E-6</v>
      </c>
      <c r="J459">
        <v>1.51</v>
      </c>
      <c r="L459" s="1">
        <v>44287</v>
      </c>
      <c r="M459" s="1">
        <v>43165</v>
      </c>
      <c r="N459" s="1"/>
      <c r="R459">
        <v>-1.6969714714083685E-3</v>
      </c>
      <c r="T459" t="s">
        <v>32</v>
      </c>
      <c r="V459">
        <v>171793054</v>
      </c>
      <c r="W459" t="s">
        <v>301</v>
      </c>
      <c r="X459" t="s">
        <v>302</v>
      </c>
      <c r="Y459">
        <v>10500</v>
      </c>
      <c r="Z459" t="s">
        <v>31</v>
      </c>
      <c r="AA459">
        <v>-8.2576785414558817E-4</v>
      </c>
      <c r="AB459">
        <v>102.41</v>
      </c>
      <c r="AC459" t="s">
        <v>138</v>
      </c>
      <c r="AE459" t="s">
        <v>41</v>
      </c>
      <c r="AF459">
        <v>8.6714849139223282E-2</v>
      </c>
      <c r="AH459" t="s">
        <v>244</v>
      </c>
      <c r="AJ459">
        <v>1.1635724054760877E-3</v>
      </c>
      <c r="AK459">
        <v>1.1635724054760877E-3</v>
      </c>
      <c r="AL459">
        <v>0</v>
      </c>
      <c r="AN459" t="s">
        <v>142</v>
      </c>
      <c r="AQ459">
        <v>1.0089900560342209E-4</v>
      </c>
    </row>
    <row r="460" spans="1:43" x14ac:dyDescent="0.2">
      <c r="A460">
        <v>458</v>
      </c>
      <c r="B460">
        <v>107</v>
      </c>
      <c r="C460">
        <v>7</v>
      </c>
      <c r="D460">
        <v>600000000</v>
      </c>
      <c r="E460" t="s">
        <v>344</v>
      </c>
      <c r="F460" t="s">
        <v>49</v>
      </c>
      <c r="G460" t="s">
        <v>685</v>
      </c>
      <c r="H460">
        <v>5.2910512927580727E-3</v>
      </c>
      <c r="I460">
        <v>4.9608191348037667E-7</v>
      </c>
      <c r="J460">
        <v>1.27</v>
      </c>
      <c r="L460" s="1">
        <v>43641</v>
      </c>
      <c r="M460" s="1">
        <v>43165</v>
      </c>
      <c r="N460" s="1"/>
      <c r="R460">
        <v>1.1907350642818377E-4</v>
      </c>
      <c r="T460" t="s">
        <v>39</v>
      </c>
      <c r="V460">
        <v>615106672</v>
      </c>
      <c r="W460" t="s">
        <v>346</v>
      </c>
      <c r="X460" t="s">
        <v>347</v>
      </c>
      <c r="Y460">
        <v>600000000</v>
      </c>
      <c r="Z460" t="s">
        <v>31</v>
      </c>
      <c r="AA460">
        <v>2.0746431739687186E-4</v>
      </c>
      <c r="AB460">
        <v>101.55</v>
      </c>
      <c r="AC460" t="s">
        <v>33</v>
      </c>
      <c r="AE460" t="s">
        <v>41</v>
      </c>
      <c r="AF460">
        <v>3.7400000000000003E-2</v>
      </c>
      <c r="AH460" t="s">
        <v>244</v>
      </c>
      <c r="AJ460">
        <v>4.1661821202819468E-3</v>
      </c>
      <c r="AK460">
        <v>4.1661821202819468E-3</v>
      </c>
      <c r="AL460">
        <v>0</v>
      </c>
      <c r="AN460" t="s">
        <v>144</v>
      </c>
      <c r="AQ460">
        <v>1.5581521129854481E-4</v>
      </c>
    </row>
    <row r="461" spans="1:43" x14ac:dyDescent="0.2">
      <c r="A461">
        <v>459</v>
      </c>
      <c r="B461">
        <v>107</v>
      </c>
      <c r="C461">
        <v>7</v>
      </c>
      <c r="D461">
        <v>400000000</v>
      </c>
      <c r="E461" t="s">
        <v>344</v>
      </c>
      <c r="F461" t="s">
        <v>49</v>
      </c>
      <c r="G461" t="s">
        <v>426</v>
      </c>
      <c r="H461">
        <v>5.5228503515183875E-3</v>
      </c>
      <c r="I461">
        <v>3.3724367017098556E-7</v>
      </c>
      <c r="J461">
        <v>1.95</v>
      </c>
      <c r="L461" s="1">
        <v>43922</v>
      </c>
      <c r="M461" s="1">
        <v>43165</v>
      </c>
      <c r="N461" s="1"/>
      <c r="R461">
        <v>1.1907350642818377E-4</v>
      </c>
      <c r="T461" t="s">
        <v>39</v>
      </c>
      <c r="V461">
        <v>418158425</v>
      </c>
      <c r="W461" t="s">
        <v>346</v>
      </c>
      <c r="X461" t="s">
        <v>347</v>
      </c>
      <c r="Y461">
        <v>400000000</v>
      </c>
      <c r="Z461" t="s">
        <v>31</v>
      </c>
      <c r="AA461">
        <v>1.4103724793668968E-4</v>
      </c>
      <c r="AB461">
        <v>102.25</v>
      </c>
      <c r="AC461" t="s">
        <v>33</v>
      </c>
      <c r="AE461" t="s">
        <v>41</v>
      </c>
      <c r="AF461">
        <v>4.1000000000000002E-2</v>
      </c>
      <c r="AH461" t="s">
        <v>244</v>
      </c>
      <c r="AJ461">
        <v>2.8322309494966092E-3</v>
      </c>
      <c r="AK461">
        <v>2.8322309494966092E-3</v>
      </c>
      <c r="AL461">
        <v>0</v>
      </c>
      <c r="AN461" t="s">
        <v>144</v>
      </c>
      <c r="AQ461">
        <v>1.1612146892936098E-4</v>
      </c>
    </row>
    <row r="462" spans="1:43" x14ac:dyDescent="0.2">
      <c r="A462">
        <v>460</v>
      </c>
      <c r="B462">
        <v>110</v>
      </c>
      <c r="C462">
        <v>7</v>
      </c>
      <c r="D462">
        <v>900000000</v>
      </c>
      <c r="E462" t="s">
        <v>344</v>
      </c>
      <c r="F462" t="s">
        <v>49</v>
      </c>
      <c r="G462" t="s">
        <v>435</v>
      </c>
      <c r="H462">
        <v>2.0761730236377798E-2</v>
      </c>
      <c r="I462">
        <v>6.5791386936479615E-6</v>
      </c>
      <c r="J462">
        <v>3.29</v>
      </c>
      <c r="L462" s="1">
        <v>44484</v>
      </c>
      <c r="M462" s="1">
        <v>43165</v>
      </c>
      <c r="N462" s="1"/>
      <c r="R462">
        <v>1.0425608104750214E-3</v>
      </c>
      <c r="T462" t="s">
        <v>39</v>
      </c>
      <c r="V462">
        <v>931708018</v>
      </c>
      <c r="W462" t="s">
        <v>346</v>
      </c>
      <c r="X462" t="s">
        <v>347</v>
      </c>
      <c r="Y462">
        <v>900000000</v>
      </c>
      <c r="Z462" t="s">
        <v>31</v>
      </c>
      <c r="AA462">
        <v>2.7514337472233081E-3</v>
      </c>
      <c r="AB462">
        <v>101.54</v>
      </c>
      <c r="AC462" t="s">
        <v>33</v>
      </c>
      <c r="AE462" t="s">
        <v>41</v>
      </c>
      <c r="AF462">
        <v>4.6100000000000002E-2</v>
      </c>
      <c r="AH462" t="s">
        <v>244</v>
      </c>
      <c r="AJ462">
        <v>6.3105563028503942E-3</v>
      </c>
      <c r="AK462">
        <v>6.3105563028503942E-3</v>
      </c>
      <c r="AL462">
        <v>0</v>
      </c>
      <c r="AN462" t="s">
        <v>144</v>
      </c>
      <c r="AQ462">
        <v>2.9091664556140317E-4</v>
      </c>
    </row>
    <row r="463" spans="1:43" x14ac:dyDescent="0.2">
      <c r="A463">
        <v>461</v>
      </c>
      <c r="B463">
        <v>89</v>
      </c>
      <c r="C463">
        <v>7</v>
      </c>
      <c r="D463">
        <v>26000</v>
      </c>
      <c r="E463" t="s">
        <v>850</v>
      </c>
      <c r="F463" t="s">
        <v>49</v>
      </c>
      <c r="G463" t="s">
        <v>689</v>
      </c>
      <c r="H463">
        <v>2.0898345466620987E-2</v>
      </c>
      <c r="I463">
        <v>6.1371909796264346E-5</v>
      </c>
      <c r="J463">
        <v>4.3499999999999996</v>
      </c>
      <c r="K463">
        <v>4.3598141720215997</v>
      </c>
      <c r="L463" s="1">
        <v>44849</v>
      </c>
      <c r="M463" s="1">
        <v>43165</v>
      </c>
      <c r="N463" s="1">
        <v>43164</v>
      </c>
      <c r="R463">
        <v>-4.4615847120025569E-3</v>
      </c>
      <c r="S463">
        <v>-4.4615847120025569E-3</v>
      </c>
      <c r="T463" t="s">
        <v>32</v>
      </c>
      <c r="U463" t="s">
        <v>32</v>
      </c>
      <c r="V463">
        <v>709307961</v>
      </c>
      <c r="W463" t="s">
        <v>690</v>
      </c>
      <c r="X463" t="s">
        <v>851</v>
      </c>
      <c r="Y463">
        <v>26000</v>
      </c>
      <c r="Z463" t="s">
        <v>31</v>
      </c>
      <c r="AA463">
        <v>2.5666086642620625E-2</v>
      </c>
      <c r="AB463">
        <v>100.29</v>
      </c>
      <c r="AC463" t="s">
        <v>138</v>
      </c>
      <c r="AD463" t="s">
        <v>138</v>
      </c>
      <c r="AE463" t="s">
        <v>41</v>
      </c>
      <c r="AF463">
        <v>8.8314849139223287E-2</v>
      </c>
      <c r="AG463">
        <v>2.31</v>
      </c>
      <c r="AH463" t="s">
        <v>244</v>
      </c>
      <c r="AI463" t="s">
        <v>244</v>
      </c>
      <c r="AJ463">
        <v>-1.37556302878575E-2</v>
      </c>
      <c r="AK463">
        <v>4.8042173486485028E-3</v>
      </c>
      <c r="AL463">
        <v>1.8559847636506002E-2</v>
      </c>
      <c r="AM463" t="s">
        <v>41</v>
      </c>
      <c r="AN463" t="s">
        <v>142</v>
      </c>
      <c r="AO463" t="s">
        <v>138</v>
      </c>
      <c r="AP463" t="s">
        <v>31</v>
      </c>
      <c r="AQ463">
        <v>4.2428373037793182E-4</v>
      </c>
    </row>
    <row r="464" spans="1:43" x14ac:dyDescent="0.2">
      <c r="A464">
        <v>462</v>
      </c>
      <c r="B464">
        <v>91</v>
      </c>
      <c r="C464">
        <v>7</v>
      </c>
      <c r="D464">
        <v>30000</v>
      </c>
      <c r="E464" t="s">
        <v>852</v>
      </c>
      <c r="F464" t="s">
        <v>49</v>
      </c>
      <c r="G464" t="s">
        <v>895</v>
      </c>
      <c r="H464">
        <v>6.6182187097747466E-2</v>
      </c>
      <c r="I464">
        <v>-4.1861121206660673E-5</v>
      </c>
      <c r="J464">
        <v>8.33</v>
      </c>
      <c r="L464" s="1">
        <v>47178</v>
      </c>
      <c r="M464" s="1">
        <v>43165</v>
      </c>
      <c r="N464" s="1"/>
      <c r="R464">
        <v>-5.2688367511407258E-3</v>
      </c>
      <c r="T464" t="s">
        <v>32</v>
      </c>
      <c r="V464">
        <v>1173027789</v>
      </c>
      <c r="W464" t="s">
        <v>854</v>
      </c>
      <c r="X464" t="s">
        <v>855</v>
      </c>
      <c r="Y464">
        <v>30000</v>
      </c>
      <c r="Z464" t="s">
        <v>31</v>
      </c>
      <c r="AA464">
        <v>-1.7506562324915542E-2</v>
      </c>
      <c r="AB464">
        <v>144.91999999999999</v>
      </c>
      <c r="AC464" t="s">
        <v>51</v>
      </c>
      <c r="AE464" t="s">
        <v>169</v>
      </c>
      <c r="AF464">
        <v>9.1414849139223292E-2</v>
      </c>
      <c r="AH464" t="s">
        <v>244</v>
      </c>
      <c r="AJ464">
        <v>7.9450404679168619E-3</v>
      </c>
      <c r="AK464">
        <v>7.9450404679168619E-3</v>
      </c>
      <c r="AL464">
        <v>0</v>
      </c>
      <c r="AN464" t="s">
        <v>145</v>
      </c>
      <c r="AQ464">
        <v>7.2629467577964399E-4</v>
      </c>
    </row>
    <row r="465" spans="1:43" x14ac:dyDescent="0.2">
      <c r="A465">
        <v>463</v>
      </c>
      <c r="B465">
        <v>89</v>
      </c>
      <c r="C465">
        <v>7</v>
      </c>
      <c r="D465">
        <v>10000</v>
      </c>
      <c r="E465" t="s">
        <v>852</v>
      </c>
      <c r="F465" t="s">
        <v>49</v>
      </c>
      <c r="G465" t="s">
        <v>853</v>
      </c>
      <c r="H465">
        <v>6.2296132143861097E-3</v>
      </c>
      <c r="I465">
        <v>-7.2759023767000459E-6</v>
      </c>
      <c r="J465">
        <v>3.82</v>
      </c>
      <c r="L465" s="1">
        <v>45992</v>
      </c>
      <c r="M465" s="1">
        <v>43165</v>
      </c>
      <c r="N465" s="1"/>
      <c r="R465">
        <v>-4.4615847120025569E-3</v>
      </c>
      <c r="T465" t="s">
        <v>32</v>
      </c>
      <c r="V465">
        <v>240774177</v>
      </c>
      <c r="W465" t="s">
        <v>854</v>
      </c>
      <c r="X465" t="s">
        <v>855</v>
      </c>
      <c r="Y465">
        <v>10000</v>
      </c>
      <c r="Z465" t="s">
        <v>31</v>
      </c>
      <c r="AA465">
        <v>-3.0428243380980729E-3</v>
      </c>
      <c r="AB465">
        <v>120.29</v>
      </c>
      <c r="AC465" t="s">
        <v>51</v>
      </c>
      <c r="AE465" t="s">
        <v>169</v>
      </c>
      <c r="AF465">
        <v>8.5714849139223281E-2</v>
      </c>
      <c r="AH465" t="s">
        <v>244</v>
      </c>
      <c r="AJ465">
        <v>1.6307887995775157E-3</v>
      </c>
      <c r="AK465">
        <v>1.6307887995775157E-3</v>
      </c>
      <c r="AL465">
        <v>0</v>
      </c>
      <c r="AN465" t="s">
        <v>145</v>
      </c>
      <c r="AQ465">
        <v>1.3978281593372179E-4</v>
      </c>
    </row>
    <row r="466" spans="1:43" x14ac:dyDescent="0.2">
      <c r="A466">
        <v>464</v>
      </c>
      <c r="B466">
        <v>91</v>
      </c>
      <c r="C466">
        <v>7</v>
      </c>
      <c r="D466">
        <v>5000</v>
      </c>
      <c r="E466" t="s">
        <v>852</v>
      </c>
      <c r="F466" t="s">
        <v>49</v>
      </c>
      <c r="G466" t="s">
        <v>896</v>
      </c>
      <c r="H466">
        <v>7.376162731264564E-3</v>
      </c>
      <c r="I466">
        <v>-4.8701500351981563E-6</v>
      </c>
      <c r="J466">
        <v>7.98</v>
      </c>
      <c r="L466" s="1">
        <v>46997</v>
      </c>
      <c r="M466" s="1">
        <v>43165</v>
      </c>
      <c r="N466" s="1"/>
      <c r="R466">
        <v>-5.2688367511407258E-3</v>
      </c>
      <c r="T466" t="s">
        <v>32</v>
      </c>
      <c r="V466">
        <v>136470815</v>
      </c>
      <c r="W466" t="s">
        <v>854</v>
      </c>
      <c r="X466" t="s">
        <v>855</v>
      </c>
      <c r="Y466">
        <v>5000</v>
      </c>
      <c r="Z466" t="s">
        <v>31</v>
      </c>
      <c r="AA466">
        <v>-2.0367248335746964E-3</v>
      </c>
      <c r="AB466">
        <v>101.22</v>
      </c>
      <c r="AC466" t="s">
        <v>51</v>
      </c>
      <c r="AE466" t="s">
        <v>169</v>
      </c>
      <c r="AF466">
        <v>9.8414849139223284E-2</v>
      </c>
      <c r="AH466" t="s">
        <v>244</v>
      </c>
      <c r="AJ466">
        <v>9.2433116933139897E-4</v>
      </c>
      <c r="AK466">
        <v>9.2433116933139897E-4</v>
      </c>
      <c r="AL466">
        <v>0</v>
      </c>
      <c r="AN466" t="s">
        <v>145</v>
      </c>
      <c r="AQ466">
        <v>9.0967912584431483E-5</v>
      </c>
    </row>
    <row r="467" spans="1:43" x14ac:dyDescent="0.2">
      <c r="A467">
        <v>465</v>
      </c>
      <c r="B467">
        <v>89</v>
      </c>
      <c r="C467">
        <v>7</v>
      </c>
      <c r="F467" t="s">
        <v>49</v>
      </c>
      <c r="G467" t="s">
        <v>989</v>
      </c>
      <c r="I467">
        <v>1.0681064876864994E-4</v>
      </c>
      <c r="J467">
        <v>4.8603195513242001</v>
      </c>
      <c r="K467">
        <v>4.8603195513242001</v>
      </c>
      <c r="L467" s="1"/>
      <c r="M467" s="1"/>
      <c r="N467" s="1">
        <v>43164</v>
      </c>
      <c r="R467">
        <v>-4.4615847120025569E-3</v>
      </c>
      <c r="S467">
        <v>-4.4615847120025569E-3</v>
      </c>
      <c r="T467" t="s">
        <v>32</v>
      </c>
      <c r="U467" t="s">
        <v>32</v>
      </c>
      <c r="W467" t="s">
        <v>252</v>
      </c>
      <c r="Z467" t="s">
        <v>31</v>
      </c>
      <c r="AA467">
        <v>4.4668829351267099E-2</v>
      </c>
      <c r="AC467" t="s">
        <v>51</v>
      </c>
      <c r="AD467" t="s">
        <v>51</v>
      </c>
      <c r="AE467" t="s">
        <v>41</v>
      </c>
      <c r="AF467">
        <v>3.12</v>
      </c>
      <c r="AG467">
        <v>3.12</v>
      </c>
      <c r="AH467" t="s">
        <v>244</v>
      </c>
      <c r="AI467" t="s">
        <v>244</v>
      </c>
      <c r="AJ467">
        <v>-2.3940069653123001E-2</v>
      </c>
      <c r="AK467">
        <v>0</v>
      </c>
      <c r="AL467">
        <v>2.3940069653123001E-2</v>
      </c>
      <c r="AM467" t="s">
        <v>41</v>
      </c>
      <c r="AN467" t="s">
        <v>51</v>
      </c>
      <c r="AO467" t="s">
        <v>51</v>
      </c>
      <c r="AP467" t="s">
        <v>31</v>
      </c>
    </row>
    <row r="468" spans="1:43" x14ac:dyDescent="0.2">
      <c r="A468">
        <v>466</v>
      </c>
      <c r="B468">
        <v>89</v>
      </c>
      <c r="C468">
        <v>7</v>
      </c>
      <c r="F468" t="s">
        <v>49</v>
      </c>
      <c r="G468" t="s">
        <v>989</v>
      </c>
      <c r="I468">
        <v>1.0681064876864994E-4</v>
      </c>
      <c r="J468">
        <v>4.8603195513242001</v>
      </c>
      <c r="K468">
        <v>4.8603195513242001</v>
      </c>
      <c r="L468" s="1"/>
      <c r="M468" s="1"/>
      <c r="N468" s="1">
        <v>43164</v>
      </c>
      <c r="R468">
        <v>-4.4615847120025569E-3</v>
      </c>
      <c r="S468">
        <v>-4.4615847120025569E-3</v>
      </c>
      <c r="T468" t="s">
        <v>32</v>
      </c>
      <c r="U468" t="s">
        <v>32</v>
      </c>
      <c r="W468" t="s">
        <v>252</v>
      </c>
      <c r="Z468" t="s">
        <v>31</v>
      </c>
      <c r="AA468">
        <v>4.4668829351267099E-2</v>
      </c>
      <c r="AC468" t="s">
        <v>51</v>
      </c>
      <c r="AD468" t="s">
        <v>51</v>
      </c>
      <c r="AE468" t="s">
        <v>166</v>
      </c>
      <c r="AF468">
        <v>3.12</v>
      </c>
      <c r="AG468">
        <v>3.12</v>
      </c>
      <c r="AH468" t="s">
        <v>244</v>
      </c>
      <c r="AI468" t="s">
        <v>244</v>
      </c>
      <c r="AJ468">
        <v>-2.3940069653123001E-2</v>
      </c>
      <c r="AK468">
        <v>0</v>
      </c>
      <c r="AL468">
        <v>2.3940069653123001E-2</v>
      </c>
      <c r="AM468" t="s">
        <v>166</v>
      </c>
      <c r="AN468" t="s">
        <v>51</v>
      </c>
      <c r="AO468" t="s">
        <v>51</v>
      </c>
      <c r="AP468" t="s">
        <v>31</v>
      </c>
    </row>
    <row r="469" spans="1:43" x14ac:dyDescent="0.2">
      <c r="A469">
        <v>467</v>
      </c>
      <c r="B469">
        <v>87</v>
      </c>
      <c r="C469">
        <v>7</v>
      </c>
      <c r="D469">
        <v>250000000</v>
      </c>
      <c r="E469" t="s">
        <v>836</v>
      </c>
      <c r="F469" t="s">
        <v>49</v>
      </c>
      <c r="G469" t="s">
        <v>837</v>
      </c>
      <c r="H469">
        <v>1.5195581656071919E-5</v>
      </c>
      <c r="I469">
        <v>-3.6837812231157677E-7</v>
      </c>
      <c r="J469">
        <v>7.0000000000000007E-2</v>
      </c>
      <c r="L469" s="1">
        <v>43191</v>
      </c>
      <c r="M469" s="1">
        <v>43165</v>
      </c>
      <c r="N469" s="1"/>
      <c r="R469">
        <v>-1.6969714714083685E-3</v>
      </c>
      <c r="T469" t="s">
        <v>39</v>
      </c>
      <c r="V469">
        <v>32050254</v>
      </c>
      <c r="W469" t="s">
        <v>838</v>
      </c>
      <c r="X469" t="s">
        <v>839</v>
      </c>
      <c r="Y469">
        <v>250000000</v>
      </c>
      <c r="Z469" t="s">
        <v>31</v>
      </c>
      <c r="AA469">
        <v>-1.5405785539152856E-4</v>
      </c>
      <c r="AB469">
        <v>100.04</v>
      </c>
      <c r="AC469" t="s">
        <v>146</v>
      </c>
      <c r="AE469" t="s">
        <v>41</v>
      </c>
      <c r="AF469">
        <v>5.5199999999999999E-2</v>
      </c>
      <c r="AH469" t="s">
        <v>244</v>
      </c>
      <c r="AJ469">
        <v>2.1707973794388453E-4</v>
      </c>
      <c r="AK469">
        <v>2.1707973794388453E-4</v>
      </c>
      <c r="AL469">
        <v>0</v>
      </c>
      <c r="AN469" t="s">
        <v>140</v>
      </c>
      <c r="AQ469">
        <v>1.1982801534502426E-5</v>
      </c>
    </row>
    <row r="470" spans="1:43" x14ac:dyDescent="0.2">
      <c r="A470">
        <v>468</v>
      </c>
      <c r="B470">
        <v>87</v>
      </c>
      <c r="C470">
        <v>7</v>
      </c>
      <c r="D470">
        <v>75000</v>
      </c>
      <c r="E470" t="s">
        <v>836</v>
      </c>
      <c r="F470" t="s">
        <v>49</v>
      </c>
      <c r="G470" t="s">
        <v>840</v>
      </c>
      <c r="H470">
        <v>6.9039131838577114E-4</v>
      </c>
      <c r="I470">
        <v>-2.9289359285216634E-6</v>
      </c>
      <c r="J470">
        <v>0.4</v>
      </c>
      <c r="L470" s="1">
        <v>43313</v>
      </c>
      <c r="M470" s="1">
        <v>43165</v>
      </c>
      <c r="N470" s="1"/>
      <c r="R470">
        <v>-1.6969714714083685E-3</v>
      </c>
      <c r="T470" t="s">
        <v>32</v>
      </c>
      <c r="V470">
        <v>254828218</v>
      </c>
      <c r="W470" t="s">
        <v>838</v>
      </c>
      <c r="X470" t="s">
        <v>839</v>
      </c>
      <c r="Y470">
        <v>75000</v>
      </c>
      <c r="Z470" t="s">
        <v>31</v>
      </c>
      <c r="AA470">
        <v>-1.2248978981047988E-3</v>
      </c>
      <c r="AB470">
        <v>100.52</v>
      </c>
      <c r="AC470" t="s">
        <v>146</v>
      </c>
      <c r="AE470" t="s">
        <v>41</v>
      </c>
      <c r="AF470">
        <v>8.9114849139223282E-2</v>
      </c>
      <c r="AH470" t="s">
        <v>244</v>
      </c>
      <c r="AJ470">
        <v>1.7259782959644276E-3</v>
      </c>
      <c r="AK470">
        <v>1.7259782959644276E-3</v>
      </c>
      <c r="AL470">
        <v>0</v>
      </c>
      <c r="AN470" t="s">
        <v>140</v>
      </c>
      <c r="AQ470">
        <v>1.5381029546244365E-4</v>
      </c>
    </row>
    <row r="471" spans="1:43" x14ac:dyDescent="0.2">
      <c r="A471">
        <v>469</v>
      </c>
      <c r="B471">
        <v>87</v>
      </c>
      <c r="C471">
        <v>7</v>
      </c>
      <c r="D471">
        <v>3000</v>
      </c>
      <c r="E471" t="s">
        <v>836</v>
      </c>
      <c r="F471" t="s">
        <v>49</v>
      </c>
      <c r="G471" t="s">
        <v>841</v>
      </c>
      <c r="H471">
        <v>2.0167396895641402E-4</v>
      </c>
      <c r="I471">
        <v>-3.4921935902523624E-7</v>
      </c>
      <c r="J471">
        <v>0.98</v>
      </c>
      <c r="L471" s="1">
        <v>43709</v>
      </c>
      <c r="M471" s="1">
        <v>43165</v>
      </c>
      <c r="N471" s="1"/>
      <c r="R471">
        <v>-1.6969714714083685E-3</v>
      </c>
      <c r="T471" t="s">
        <v>32</v>
      </c>
      <c r="V471">
        <v>30383371</v>
      </c>
      <c r="W471" t="s">
        <v>838</v>
      </c>
      <c r="X471" t="s">
        <v>839</v>
      </c>
      <c r="Y471">
        <v>3000</v>
      </c>
      <c r="Z471" t="s">
        <v>31</v>
      </c>
      <c r="AA471">
        <v>-1.4604555008597317E-4</v>
      </c>
      <c r="AB471">
        <v>100.17</v>
      </c>
      <c r="AC471" t="s">
        <v>146</v>
      </c>
      <c r="AE471" t="s">
        <v>41</v>
      </c>
      <c r="AF471">
        <v>8.8214849139223284E-2</v>
      </c>
      <c r="AH471" t="s">
        <v>244</v>
      </c>
      <c r="AJ471">
        <v>2.0578976424123879E-4</v>
      </c>
      <c r="AK471">
        <v>2.0578976424123879E-4</v>
      </c>
      <c r="AL471">
        <v>0</v>
      </c>
      <c r="AN471" t="s">
        <v>140</v>
      </c>
      <c r="AQ471">
        <v>1.8153713006937208E-5</v>
      </c>
    </row>
    <row r="472" spans="1:43" x14ac:dyDescent="0.2">
      <c r="A472">
        <v>470</v>
      </c>
      <c r="B472">
        <v>88</v>
      </c>
      <c r="C472">
        <v>7</v>
      </c>
      <c r="D472">
        <v>61000</v>
      </c>
      <c r="E472" t="s">
        <v>836</v>
      </c>
      <c r="F472" t="s">
        <v>49</v>
      </c>
      <c r="G472" t="s">
        <v>842</v>
      </c>
      <c r="H472">
        <v>2.8431180814504329E-2</v>
      </c>
      <c r="I472">
        <v>1.4626151854654582E-5</v>
      </c>
      <c r="J472">
        <v>2.46</v>
      </c>
      <c r="K472">
        <v>2.4681597810753</v>
      </c>
      <c r="L472" s="1">
        <v>44566</v>
      </c>
      <c r="M472" s="1">
        <v>43165</v>
      </c>
      <c r="N472" s="1">
        <v>43164</v>
      </c>
      <c r="R472">
        <v>-1.9615943739185291E-3</v>
      </c>
      <c r="S472">
        <v>-1.9615943739185291E-3</v>
      </c>
      <c r="T472" t="s">
        <v>32</v>
      </c>
      <c r="U472" t="s">
        <v>32</v>
      </c>
      <c r="V472">
        <v>1706365168</v>
      </c>
      <c r="W472" t="s">
        <v>838</v>
      </c>
      <c r="X472" t="s">
        <v>843</v>
      </c>
      <c r="Y472">
        <v>61000</v>
      </c>
      <c r="Z472" t="s">
        <v>31</v>
      </c>
      <c r="AA472">
        <v>6.1167410627417183E-3</v>
      </c>
      <c r="AB472">
        <v>103.12</v>
      </c>
      <c r="AC472" t="s">
        <v>146</v>
      </c>
      <c r="AD472" t="s">
        <v>146</v>
      </c>
      <c r="AE472" t="s">
        <v>41</v>
      </c>
      <c r="AF472">
        <v>9.2114849139223284E-2</v>
      </c>
      <c r="AG472">
        <v>2.69</v>
      </c>
      <c r="AH472" t="s">
        <v>244</v>
      </c>
      <c r="AI472" t="s">
        <v>244</v>
      </c>
      <c r="AJ472">
        <v>-7.4562570371962383E-3</v>
      </c>
      <c r="AK472">
        <v>1.155739057500176E-2</v>
      </c>
      <c r="AL472">
        <v>1.9013647612197999E-2</v>
      </c>
      <c r="AM472" t="s">
        <v>41</v>
      </c>
      <c r="AN472" t="s">
        <v>140</v>
      </c>
      <c r="AO472" t="s">
        <v>146</v>
      </c>
      <c r="AP472" t="s">
        <v>31</v>
      </c>
      <c r="AQ472">
        <v>1.0646072892593682E-3</v>
      </c>
    </row>
    <row r="473" spans="1:43" x14ac:dyDescent="0.2">
      <c r="A473">
        <v>471</v>
      </c>
      <c r="B473">
        <v>124</v>
      </c>
      <c r="C473">
        <v>7</v>
      </c>
      <c r="F473" t="s">
        <v>49</v>
      </c>
      <c r="G473" t="s">
        <v>990</v>
      </c>
      <c r="I473">
        <v>7.6304001997499815E-5</v>
      </c>
      <c r="J473">
        <v>2.8059376975849002</v>
      </c>
      <c r="K473">
        <v>2.8059376975849002</v>
      </c>
      <c r="L473" s="1"/>
      <c r="M473" s="1"/>
      <c r="N473" s="1">
        <v>43164</v>
      </c>
      <c r="R473">
        <v>-3.9405654094077473E-3</v>
      </c>
      <c r="S473">
        <v>-3.9405654094077473E-3</v>
      </c>
      <c r="T473" t="s">
        <v>32</v>
      </c>
      <c r="U473" t="s">
        <v>32</v>
      </c>
      <c r="AA473">
        <v>3.1910773722830035E-2</v>
      </c>
      <c r="AC473" t="s">
        <v>144</v>
      </c>
      <c r="AD473" t="s">
        <v>144</v>
      </c>
      <c r="AF473">
        <v>3.33</v>
      </c>
      <c r="AG473">
        <v>3.33</v>
      </c>
      <c r="AH473" t="s">
        <v>244</v>
      </c>
      <c r="AI473" t="s">
        <v>244</v>
      </c>
      <c r="AJ473">
        <v>-1.9363719179824001E-2</v>
      </c>
      <c r="AK473">
        <v>0</v>
      </c>
      <c r="AL473">
        <v>1.9363719179824001E-2</v>
      </c>
      <c r="AN473" t="s">
        <v>144</v>
      </c>
      <c r="AO473" t="s">
        <v>144</v>
      </c>
    </row>
    <row r="474" spans="1:43" x14ac:dyDescent="0.2">
      <c r="A474">
        <v>472</v>
      </c>
      <c r="B474">
        <v>125</v>
      </c>
      <c r="C474">
        <v>7</v>
      </c>
      <c r="D474">
        <v>70000</v>
      </c>
      <c r="E474" t="s">
        <v>951</v>
      </c>
      <c r="F474" t="s">
        <v>49</v>
      </c>
      <c r="G474" t="s">
        <v>952</v>
      </c>
      <c r="H474">
        <v>6.0567887117814793E-2</v>
      </c>
      <c r="I474">
        <v>-1.3763857012455635E-6</v>
      </c>
      <c r="J474">
        <v>4.51</v>
      </c>
      <c r="K474">
        <v>4.5137135859538002</v>
      </c>
      <c r="L474" s="1">
        <v>45640</v>
      </c>
      <c r="M474" s="1">
        <v>43165</v>
      </c>
      <c r="N474" s="1">
        <v>43164</v>
      </c>
      <c r="R474">
        <v>-2.3519489473039345E-3</v>
      </c>
      <c r="S474">
        <v>-2.3519489473039345E-3</v>
      </c>
      <c r="T474" t="s">
        <v>32</v>
      </c>
      <c r="U474" t="s">
        <v>32</v>
      </c>
      <c r="V474">
        <v>1982796159</v>
      </c>
      <c r="W474" t="s">
        <v>951</v>
      </c>
      <c r="X474" t="s">
        <v>953</v>
      </c>
      <c r="Y474">
        <v>70000</v>
      </c>
      <c r="Z474" t="s">
        <v>31</v>
      </c>
      <c r="AA474">
        <v>-5.7561243864017852E-4</v>
      </c>
      <c r="AB474">
        <v>104.04</v>
      </c>
      <c r="AC474" t="s">
        <v>144</v>
      </c>
      <c r="AD474" t="s">
        <v>144</v>
      </c>
      <c r="AE474" t="s">
        <v>35</v>
      </c>
      <c r="AF474">
        <v>0.10131484913922328</v>
      </c>
      <c r="AG474">
        <v>3.61</v>
      </c>
      <c r="AH474" t="s">
        <v>244</v>
      </c>
      <c r="AI474" t="s">
        <v>244</v>
      </c>
      <c r="AJ474">
        <v>5.8521070485961432E-4</v>
      </c>
      <c r="AK474">
        <v>1.3429686722353614E-2</v>
      </c>
      <c r="AL474">
        <v>1.2844476017494E-2</v>
      </c>
      <c r="AM474" t="s">
        <v>35</v>
      </c>
      <c r="AN474" t="s">
        <v>140</v>
      </c>
      <c r="AO474" t="s">
        <v>144</v>
      </c>
      <c r="AP474" t="s">
        <v>31</v>
      </c>
      <c r="AQ474">
        <v>1.3606266842622864E-3</v>
      </c>
    </row>
    <row r="475" spans="1:43" x14ac:dyDescent="0.2">
      <c r="A475">
        <v>473</v>
      </c>
      <c r="B475">
        <v>87</v>
      </c>
      <c r="C475">
        <v>7</v>
      </c>
      <c r="F475" t="s">
        <v>49</v>
      </c>
      <c r="G475" t="s">
        <v>1068</v>
      </c>
      <c r="I475">
        <v>2.1503787177993766E-5</v>
      </c>
      <c r="J475">
        <v>1.6351217454306</v>
      </c>
      <c r="K475">
        <v>1.6351217454306</v>
      </c>
      <c r="L475" s="1"/>
      <c r="M475" s="1"/>
      <c r="N475" s="1">
        <v>43164</v>
      </c>
      <c r="R475">
        <v>-1.6969714714083685E-3</v>
      </c>
      <c r="S475">
        <v>-1.6969714714083685E-3</v>
      </c>
      <c r="T475" t="s">
        <v>32</v>
      </c>
      <c r="U475" t="s">
        <v>32</v>
      </c>
      <c r="AA475">
        <v>8.9930078220974187E-3</v>
      </c>
      <c r="AC475" t="s">
        <v>51</v>
      </c>
      <c r="AD475" t="s">
        <v>51</v>
      </c>
      <c r="AF475">
        <v>2.99</v>
      </c>
      <c r="AG475">
        <v>2.99</v>
      </c>
      <c r="AH475" t="s">
        <v>244</v>
      </c>
      <c r="AI475" t="s">
        <v>244</v>
      </c>
      <c r="AJ475">
        <v>-1.2671861336683E-2</v>
      </c>
      <c r="AK475">
        <v>0</v>
      </c>
      <c r="AL475">
        <v>1.2671861336683E-2</v>
      </c>
      <c r="AN475" t="s">
        <v>51</v>
      </c>
      <c r="AO475" t="s">
        <v>51</v>
      </c>
    </row>
    <row r="476" spans="1:43" x14ac:dyDescent="0.2">
      <c r="A476">
        <v>474</v>
      </c>
      <c r="B476">
        <v>99</v>
      </c>
      <c r="C476">
        <v>7</v>
      </c>
      <c r="D476">
        <v>54000</v>
      </c>
      <c r="E476" t="s">
        <v>695</v>
      </c>
      <c r="F476" t="s">
        <v>49</v>
      </c>
      <c r="G476" t="s">
        <v>696</v>
      </c>
      <c r="H476">
        <v>3.2513071985148446E-2</v>
      </c>
      <c r="I476">
        <v>-8.9272022663975204E-6</v>
      </c>
      <c r="J476">
        <v>3.24</v>
      </c>
      <c r="L476" s="1">
        <v>44392</v>
      </c>
      <c r="M476" s="1">
        <v>43165</v>
      </c>
      <c r="N476" s="1"/>
      <c r="R476">
        <v>-8.8961557850762729E-4</v>
      </c>
      <c r="T476" t="s">
        <v>32</v>
      </c>
      <c r="V476">
        <v>1481580258</v>
      </c>
      <c r="W476" t="s">
        <v>697</v>
      </c>
      <c r="X476" t="s">
        <v>698</v>
      </c>
      <c r="Y476">
        <v>54000</v>
      </c>
      <c r="Z476" t="s">
        <v>31</v>
      </c>
      <c r="AA476">
        <v>-3.7334074759313536E-3</v>
      </c>
      <c r="AB476">
        <v>101.48</v>
      </c>
      <c r="AC476" t="s">
        <v>34</v>
      </c>
      <c r="AE476" t="s">
        <v>167</v>
      </c>
      <c r="AF476">
        <v>8.3414849139223285E-2</v>
      </c>
      <c r="AH476" t="s">
        <v>244</v>
      </c>
      <c r="AJ476">
        <v>1.0034898760848286E-2</v>
      </c>
      <c r="AK476">
        <v>1.0034898760848286E-2</v>
      </c>
      <c r="AL476">
        <v>0</v>
      </c>
      <c r="AN476" t="s">
        <v>50</v>
      </c>
      <c r="AQ476">
        <v>8.3705956626353847E-4</v>
      </c>
    </row>
    <row r="477" spans="1:43" x14ac:dyDescent="0.2">
      <c r="A477">
        <v>475</v>
      </c>
      <c r="B477">
        <v>124</v>
      </c>
      <c r="C477">
        <v>7</v>
      </c>
      <c r="F477" t="s">
        <v>49</v>
      </c>
      <c r="G477" t="s">
        <v>991</v>
      </c>
      <c r="I477">
        <v>3.9660842614245437E-5</v>
      </c>
      <c r="J477">
        <v>2.8439653356422001</v>
      </c>
      <c r="K477">
        <v>2.8439653356422001</v>
      </c>
      <c r="L477" s="1"/>
      <c r="M477" s="1"/>
      <c r="N477" s="1">
        <v>43164</v>
      </c>
      <c r="R477">
        <v>-3.9405654094077473E-3</v>
      </c>
      <c r="S477">
        <v>-3.9405654094077473E-3</v>
      </c>
      <c r="T477" t="s">
        <v>32</v>
      </c>
      <c r="U477" t="s">
        <v>32</v>
      </c>
      <c r="AA477">
        <v>1.6586393127341212E-2</v>
      </c>
      <c r="AC477" t="s">
        <v>50</v>
      </c>
      <c r="AD477" t="s">
        <v>50</v>
      </c>
      <c r="AF477">
        <v>3.18</v>
      </c>
      <c r="AG477">
        <v>3.18</v>
      </c>
      <c r="AH477" t="s">
        <v>244</v>
      </c>
      <c r="AI477" t="s">
        <v>244</v>
      </c>
      <c r="AJ477">
        <v>-1.0064759366652999E-2</v>
      </c>
      <c r="AK477">
        <v>0</v>
      </c>
      <c r="AL477">
        <v>1.0064759366652999E-2</v>
      </c>
      <c r="AN477" t="s">
        <v>50</v>
      </c>
      <c r="AO477" t="s">
        <v>50</v>
      </c>
    </row>
    <row r="478" spans="1:43" x14ac:dyDescent="0.2">
      <c r="A478">
        <v>476</v>
      </c>
      <c r="B478">
        <v>89</v>
      </c>
      <c r="C478">
        <v>7</v>
      </c>
      <c r="D478">
        <v>1700000000</v>
      </c>
      <c r="E478" t="s">
        <v>699</v>
      </c>
      <c r="F478" t="s">
        <v>49</v>
      </c>
      <c r="G478" t="s">
        <v>700</v>
      </c>
      <c r="H478">
        <v>4.4822053464736576E-2</v>
      </c>
      <c r="I478">
        <v>5.4170459608276369E-5</v>
      </c>
      <c r="J478">
        <v>3.86</v>
      </c>
      <c r="K478">
        <v>3.8703352163723999</v>
      </c>
      <c r="L478" s="1">
        <v>44713</v>
      </c>
      <c r="M478" s="1">
        <v>43165</v>
      </c>
      <c r="N478" s="1">
        <v>43164</v>
      </c>
      <c r="R478">
        <v>-4.4615847120025569E-3</v>
      </c>
      <c r="S478">
        <v>-4.4615847120025569E-3</v>
      </c>
      <c r="T478" t="s">
        <v>39</v>
      </c>
      <c r="U478" t="s">
        <v>39</v>
      </c>
      <c r="V478">
        <v>1714417660</v>
      </c>
      <c r="W478" t="s">
        <v>202</v>
      </c>
      <c r="X478" t="s">
        <v>701</v>
      </c>
      <c r="Y478">
        <v>1700000000</v>
      </c>
      <c r="Z478" t="s">
        <v>31</v>
      </c>
      <c r="AA478">
        <v>2.2654398639248983E-2</v>
      </c>
      <c r="AB478">
        <v>99.7</v>
      </c>
      <c r="AC478" t="s">
        <v>138</v>
      </c>
      <c r="AD478" t="s">
        <v>138</v>
      </c>
      <c r="AE478" t="s">
        <v>41</v>
      </c>
      <c r="AF478">
        <v>4.58E-2</v>
      </c>
      <c r="AG478">
        <v>4.59</v>
      </c>
      <c r="AH478" t="s">
        <v>244</v>
      </c>
      <c r="AI478" t="s">
        <v>244</v>
      </c>
      <c r="AJ478">
        <v>-1.2141528874829379E-2</v>
      </c>
      <c r="AK478">
        <v>1.1611930949413622E-2</v>
      </c>
      <c r="AL478">
        <v>2.3753459824243001E-2</v>
      </c>
      <c r="AM478" t="s">
        <v>41</v>
      </c>
      <c r="AN478" t="s">
        <v>142</v>
      </c>
      <c r="AO478" t="s">
        <v>138</v>
      </c>
      <c r="AP478" t="s">
        <v>31</v>
      </c>
      <c r="AQ478">
        <v>5.318264374831439E-4</v>
      </c>
    </row>
    <row r="479" spans="1:43" x14ac:dyDescent="0.2">
      <c r="A479">
        <v>477</v>
      </c>
      <c r="B479">
        <v>91</v>
      </c>
      <c r="C479">
        <v>7</v>
      </c>
      <c r="F479" t="s">
        <v>49</v>
      </c>
      <c r="G479" t="s">
        <v>992</v>
      </c>
      <c r="I479">
        <v>6.4075934271895591E-5</v>
      </c>
      <c r="J479">
        <v>11.948505523045</v>
      </c>
      <c r="K479">
        <v>11.948505523045</v>
      </c>
      <c r="L479" s="1"/>
      <c r="M479" s="1"/>
      <c r="N479" s="1">
        <v>43164</v>
      </c>
      <c r="R479">
        <v>-5.2688367511407258E-3</v>
      </c>
      <c r="S479">
        <v>-5.2688367511407258E-3</v>
      </c>
      <c r="T479" t="s">
        <v>32</v>
      </c>
      <c r="U479" t="s">
        <v>32</v>
      </c>
      <c r="AA479">
        <v>2.6796925273937632E-2</v>
      </c>
      <c r="AC479" t="s">
        <v>138</v>
      </c>
      <c r="AD479" t="s">
        <v>138</v>
      </c>
      <c r="AF479">
        <v>3.41</v>
      </c>
      <c r="AG479">
        <v>3.41</v>
      </c>
      <c r="AH479" t="s">
        <v>244</v>
      </c>
      <c r="AI479" t="s">
        <v>244</v>
      </c>
      <c r="AJ479">
        <v>-1.2161305673026E-2</v>
      </c>
      <c r="AK479">
        <v>0</v>
      </c>
      <c r="AL479">
        <v>1.2161305673026E-2</v>
      </c>
      <c r="AN479" t="s">
        <v>138</v>
      </c>
      <c r="AO479" t="s">
        <v>138</v>
      </c>
    </row>
    <row r="480" spans="1:43" x14ac:dyDescent="0.2">
      <c r="A480">
        <v>478</v>
      </c>
      <c r="B480">
        <v>125</v>
      </c>
      <c r="C480">
        <v>7</v>
      </c>
      <c r="D480">
        <v>145000</v>
      </c>
      <c r="E480" t="s">
        <v>277</v>
      </c>
      <c r="F480" t="s">
        <v>49</v>
      </c>
      <c r="G480" t="s">
        <v>954</v>
      </c>
      <c r="H480">
        <v>0.11249746913011445</v>
      </c>
      <c r="I480">
        <v>-4.2236148363366846E-5</v>
      </c>
      <c r="J480">
        <v>3.83</v>
      </c>
      <c r="K480">
        <v>3.8342308267763001</v>
      </c>
      <c r="L480" s="1">
        <v>44713</v>
      </c>
      <c r="M480" s="1">
        <v>43165</v>
      </c>
      <c r="N480" s="1">
        <v>43164</v>
      </c>
      <c r="R480">
        <v>-2.3519489473039345E-3</v>
      </c>
      <c r="S480">
        <v>-2.3519489473039345E-3</v>
      </c>
      <c r="T480" t="s">
        <v>32</v>
      </c>
      <c r="U480" t="s">
        <v>32</v>
      </c>
      <c r="V480">
        <v>4336667899</v>
      </c>
      <c r="W480" t="s">
        <v>278</v>
      </c>
      <c r="X480" t="s">
        <v>943</v>
      </c>
      <c r="Y480">
        <v>145000</v>
      </c>
      <c r="Z480" t="s">
        <v>31</v>
      </c>
      <c r="AA480">
        <v>-1.7663400844839559E-2</v>
      </c>
      <c r="AB480">
        <v>109.47</v>
      </c>
      <c r="AC480" t="s">
        <v>142</v>
      </c>
      <c r="AD480" t="s">
        <v>142</v>
      </c>
      <c r="AE480" t="s">
        <v>53</v>
      </c>
      <c r="AF480">
        <v>9.3514849139223283E-2</v>
      </c>
      <c r="AG480">
        <v>2.85</v>
      </c>
      <c r="AH480" t="s">
        <v>244</v>
      </c>
      <c r="AI480" t="s">
        <v>244</v>
      </c>
      <c r="AJ480">
        <v>1.7957935869221404E-2</v>
      </c>
      <c r="AK480">
        <v>2.9372707344677403E-2</v>
      </c>
      <c r="AL480">
        <v>1.1414771475456E-2</v>
      </c>
      <c r="AM480" t="s">
        <v>53</v>
      </c>
      <c r="AN480" t="s">
        <v>150</v>
      </c>
      <c r="AO480" t="s">
        <v>142</v>
      </c>
      <c r="AP480" t="s">
        <v>31</v>
      </c>
      <c r="AQ480">
        <v>2.746784296148063E-3</v>
      </c>
    </row>
    <row r="481" spans="1:43" x14ac:dyDescent="0.2">
      <c r="A481">
        <v>479</v>
      </c>
      <c r="B481">
        <v>127</v>
      </c>
      <c r="C481">
        <v>7</v>
      </c>
      <c r="D481">
        <v>50000</v>
      </c>
      <c r="E481" t="s">
        <v>277</v>
      </c>
      <c r="F481" t="s">
        <v>49</v>
      </c>
      <c r="G481" t="s">
        <v>975</v>
      </c>
      <c r="H481">
        <v>8.3375922768889152E-2</v>
      </c>
      <c r="I481">
        <v>1.665383739794335E-5</v>
      </c>
      <c r="J481">
        <v>7.73</v>
      </c>
      <c r="K481">
        <v>7.7383643429836999</v>
      </c>
      <c r="L481" s="1">
        <v>46753</v>
      </c>
      <c r="M481" s="1">
        <v>43165</v>
      </c>
      <c r="N481" s="1">
        <v>43164</v>
      </c>
      <c r="R481">
        <v>-1.2254578206976457E-2</v>
      </c>
      <c r="S481">
        <v>-1.2254578206976457E-2</v>
      </c>
      <c r="T481" t="s">
        <v>32</v>
      </c>
      <c r="U481" t="s">
        <v>32</v>
      </c>
      <c r="V481">
        <v>1592477653</v>
      </c>
      <c r="W481" t="s">
        <v>278</v>
      </c>
      <c r="X481" t="s">
        <v>943</v>
      </c>
      <c r="Y481">
        <v>50000</v>
      </c>
      <c r="Z481" t="s">
        <v>31</v>
      </c>
      <c r="AA481">
        <v>6.9647308517315765E-3</v>
      </c>
      <c r="AB481">
        <v>116.43</v>
      </c>
      <c r="AC481" t="s">
        <v>142</v>
      </c>
      <c r="AD481" t="s">
        <v>142</v>
      </c>
      <c r="AE481" t="s">
        <v>53</v>
      </c>
      <c r="AF481">
        <v>0.10241484913922329</v>
      </c>
      <c r="AG481">
        <v>3.75</v>
      </c>
      <c r="AH481" t="s">
        <v>244</v>
      </c>
      <c r="AI481" t="s">
        <v>244</v>
      </c>
      <c r="AJ481">
        <v>-1.3589890338667407E-3</v>
      </c>
      <c r="AK481">
        <v>1.0786018469455259E-2</v>
      </c>
      <c r="AL481">
        <v>1.2145007503322E-2</v>
      </c>
      <c r="AM481" t="s">
        <v>53</v>
      </c>
      <c r="AN481" t="s">
        <v>150</v>
      </c>
      <c r="AO481" t="s">
        <v>142</v>
      </c>
      <c r="AP481" t="s">
        <v>31</v>
      </c>
      <c r="AQ481">
        <v>1.1046484543621364E-3</v>
      </c>
    </row>
    <row r="482" spans="1:43" x14ac:dyDescent="0.2">
      <c r="A482">
        <v>480</v>
      </c>
      <c r="B482">
        <v>125</v>
      </c>
      <c r="C482">
        <v>7</v>
      </c>
      <c r="F482" t="s">
        <v>49</v>
      </c>
      <c r="G482" t="s">
        <v>993</v>
      </c>
      <c r="I482">
        <v>1.9866750219006529E-5</v>
      </c>
      <c r="J482">
        <v>3.8342308267763001</v>
      </c>
      <c r="K482">
        <v>3.8342308267763001</v>
      </c>
      <c r="L482" s="1"/>
      <c r="M482" s="1"/>
      <c r="N482" s="1">
        <v>43164</v>
      </c>
      <c r="R482">
        <v>-2.3519489473039345E-3</v>
      </c>
      <c r="S482">
        <v>-2.3519489473039345E-3</v>
      </c>
      <c r="T482" t="s">
        <v>32</v>
      </c>
      <c r="U482" t="s">
        <v>32</v>
      </c>
      <c r="AA482">
        <v>8.3083895241493882E-3</v>
      </c>
      <c r="AC482" t="s">
        <v>142</v>
      </c>
      <c r="AD482" t="s">
        <v>142</v>
      </c>
      <c r="AF482">
        <v>2.85</v>
      </c>
      <c r="AG482">
        <v>2.85</v>
      </c>
      <c r="AH482" t="s">
        <v>244</v>
      </c>
      <c r="AI482" t="s">
        <v>244</v>
      </c>
      <c r="AJ482">
        <v>-8.4469308918376004E-3</v>
      </c>
      <c r="AK482">
        <v>0</v>
      </c>
      <c r="AL482">
        <v>8.4469308918376004E-3</v>
      </c>
      <c r="AN482" t="s">
        <v>142</v>
      </c>
      <c r="AO482" t="s">
        <v>142</v>
      </c>
    </row>
    <row r="483" spans="1:43" x14ac:dyDescent="0.2">
      <c r="A483">
        <v>481</v>
      </c>
      <c r="B483">
        <v>127</v>
      </c>
      <c r="C483">
        <v>7</v>
      </c>
      <c r="F483" t="s">
        <v>49</v>
      </c>
      <c r="G483" t="s">
        <v>994</v>
      </c>
      <c r="I483">
        <v>1.1005998316323332E-4</v>
      </c>
      <c r="J483">
        <v>7.7374232499301003</v>
      </c>
      <c r="K483">
        <v>7.7374232499301003</v>
      </c>
      <c r="L483" s="1"/>
      <c r="M483" s="1"/>
      <c r="N483" s="1">
        <v>43164</v>
      </c>
      <c r="R483">
        <v>-1.2254578206976457E-2</v>
      </c>
      <c r="S483">
        <v>-1.2254578206976457E-2</v>
      </c>
      <c r="T483" t="s">
        <v>32</v>
      </c>
      <c r="U483" t="s">
        <v>32</v>
      </c>
      <c r="AA483">
        <v>4.6027719735794455E-2</v>
      </c>
      <c r="AC483" t="s">
        <v>142</v>
      </c>
      <c r="AD483" t="s">
        <v>142</v>
      </c>
      <c r="AF483">
        <v>3.76</v>
      </c>
      <c r="AG483">
        <v>3.76</v>
      </c>
      <c r="AH483" t="s">
        <v>244</v>
      </c>
      <c r="AI483" t="s">
        <v>244</v>
      </c>
      <c r="AJ483">
        <v>-8.9811318924528007E-3</v>
      </c>
      <c r="AK483">
        <v>0</v>
      </c>
      <c r="AL483">
        <v>8.9811318924528007E-3</v>
      </c>
      <c r="AN483" t="s">
        <v>142</v>
      </c>
      <c r="AO483" t="s">
        <v>142</v>
      </c>
    </row>
    <row r="484" spans="1:43" x14ac:dyDescent="0.2">
      <c r="A484">
        <v>482</v>
      </c>
      <c r="B484">
        <v>91</v>
      </c>
      <c r="C484">
        <v>7</v>
      </c>
      <c r="D484">
        <v>10000</v>
      </c>
      <c r="E484" t="s">
        <v>897</v>
      </c>
      <c r="F484" t="s">
        <v>49</v>
      </c>
      <c r="G484" t="s">
        <v>898</v>
      </c>
      <c r="H484">
        <v>1.7956205584507324E-2</v>
      </c>
      <c r="I484">
        <v>-1.0227926042669246E-5</v>
      </c>
      <c r="J484">
        <v>9.25</v>
      </c>
      <c r="L484" s="1">
        <v>49278</v>
      </c>
      <c r="M484" s="1">
        <v>43165</v>
      </c>
      <c r="N484" s="1"/>
      <c r="R484">
        <v>-5.2688367511407258E-3</v>
      </c>
      <c r="T484" t="s">
        <v>32</v>
      </c>
      <c r="V484">
        <v>286605832</v>
      </c>
      <c r="W484" t="s">
        <v>897</v>
      </c>
      <c r="X484" t="s">
        <v>899</v>
      </c>
      <c r="Y484">
        <v>10000</v>
      </c>
      <c r="Z484" t="s">
        <v>31</v>
      </c>
      <c r="AA484">
        <v>-4.2773776611632116E-3</v>
      </c>
      <c r="AB484">
        <v>105.26</v>
      </c>
      <c r="AC484" t="s">
        <v>138</v>
      </c>
      <c r="AE484" t="s">
        <v>40</v>
      </c>
      <c r="AF484">
        <v>9.8714849139223293E-2</v>
      </c>
      <c r="AH484" t="s">
        <v>244</v>
      </c>
      <c r="AJ484">
        <v>1.9412114145413322E-3</v>
      </c>
      <c r="AK484">
        <v>1.9412114145413322E-3</v>
      </c>
      <c r="AL484">
        <v>0</v>
      </c>
      <c r="AN484" t="s">
        <v>142</v>
      </c>
      <c r="AQ484">
        <v>1.9162639193378585E-4</v>
      </c>
    </row>
    <row r="485" spans="1:43" x14ac:dyDescent="0.2">
      <c r="A485">
        <v>483</v>
      </c>
      <c r="B485">
        <v>125</v>
      </c>
      <c r="C485">
        <v>7</v>
      </c>
      <c r="D485">
        <v>1000</v>
      </c>
      <c r="E485" t="s">
        <v>279</v>
      </c>
      <c r="F485" t="s">
        <v>49</v>
      </c>
      <c r="G485" t="s">
        <v>955</v>
      </c>
      <c r="H485">
        <v>3.2158402876546666E-4</v>
      </c>
      <c r="I485">
        <v>1.6836213562889344E-5</v>
      </c>
      <c r="J485">
        <v>3.81</v>
      </c>
      <c r="K485">
        <v>3.8165821274038998</v>
      </c>
      <c r="L485" s="1">
        <v>46310</v>
      </c>
      <c r="M485" s="1">
        <v>43165</v>
      </c>
      <c r="N485" s="1">
        <v>43164</v>
      </c>
      <c r="R485">
        <v>-2.3519489473039345E-3</v>
      </c>
      <c r="S485">
        <v>-2.3519489473039345E-3</v>
      </c>
      <c r="T485" t="s">
        <v>32</v>
      </c>
      <c r="U485" t="s">
        <v>32</v>
      </c>
      <c r="V485">
        <v>12461826</v>
      </c>
      <c r="W485" t="s">
        <v>280</v>
      </c>
      <c r="X485" t="s">
        <v>956</v>
      </c>
      <c r="Y485">
        <v>1000</v>
      </c>
      <c r="Z485" t="s">
        <v>31</v>
      </c>
      <c r="AA485">
        <v>7.0410016157764271E-3</v>
      </c>
      <c r="AB485">
        <v>100.9</v>
      </c>
      <c r="AC485" t="s">
        <v>50</v>
      </c>
      <c r="AD485" t="s">
        <v>50</v>
      </c>
      <c r="AE485" t="s">
        <v>168</v>
      </c>
      <c r="AF485">
        <v>0.11001484913922328</v>
      </c>
      <c r="AG485">
        <v>4.5</v>
      </c>
      <c r="AH485" t="s">
        <v>244</v>
      </c>
      <c r="AI485" t="s">
        <v>244</v>
      </c>
      <c r="AJ485">
        <v>-7.1584094468499773E-3</v>
      </c>
      <c r="AK485">
        <v>8.4405256893823274E-5</v>
      </c>
      <c r="AL485">
        <v>7.2428147037438004E-3</v>
      </c>
      <c r="AM485" t="s">
        <v>168</v>
      </c>
      <c r="AN485" t="s">
        <v>150</v>
      </c>
      <c r="AO485" t="s">
        <v>50</v>
      </c>
      <c r="AP485" t="s">
        <v>31</v>
      </c>
      <c r="AQ485">
        <v>9.2858316037313542E-6</v>
      </c>
    </row>
    <row r="486" spans="1:43" x14ac:dyDescent="0.2">
      <c r="A486">
        <v>484</v>
      </c>
      <c r="B486">
        <v>125</v>
      </c>
      <c r="C486">
        <v>7</v>
      </c>
      <c r="F486" t="s">
        <v>49</v>
      </c>
      <c r="G486" t="s">
        <v>995</v>
      </c>
      <c r="I486">
        <v>1.9584773256710667E-5</v>
      </c>
      <c r="J486">
        <v>4.5138827784505002</v>
      </c>
      <c r="K486">
        <v>4.5138827784505002</v>
      </c>
      <c r="L486" s="1"/>
      <c r="M486" s="1"/>
      <c r="N486" s="1">
        <v>43164</v>
      </c>
      <c r="R486">
        <v>-2.3519489473039345E-3</v>
      </c>
      <c r="S486">
        <v>-2.3519489473039345E-3</v>
      </c>
      <c r="T486" t="s">
        <v>32</v>
      </c>
      <c r="U486" t="s">
        <v>32</v>
      </c>
      <c r="AA486">
        <v>8.1904651321998145E-3</v>
      </c>
      <c r="AC486" t="s">
        <v>50</v>
      </c>
      <c r="AD486" t="s">
        <v>50</v>
      </c>
      <c r="AF486">
        <v>4.17</v>
      </c>
      <c r="AG486">
        <v>4.17</v>
      </c>
      <c r="AH486" t="s">
        <v>244</v>
      </c>
      <c r="AI486" t="s">
        <v>244</v>
      </c>
      <c r="AJ486">
        <v>-8.3270401252378001E-3</v>
      </c>
      <c r="AK486">
        <v>0</v>
      </c>
      <c r="AL486">
        <v>8.3270401252378001E-3</v>
      </c>
      <c r="AN486" t="s">
        <v>50</v>
      </c>
      <c r="AO486" t="s">
        <v>50</v>
      </c>
    </row>
    <row r="487" spans="1:43" x14ac:dyDescent="0.2">
      <c r="A487">
        <v>485</v>
      </c>
      <c r="B487">
        <v>126</v>
      </c>
      <c r="C487">
        <v>7</v>
      </c>
      <c r="D487">
        <v>70000</v>
      </c>
      <c r="E487" t="s">
        <v>279</v>
      </c>
      <c r="F487" t="s">
        <v>49</v>
      </c>
      <c r="G487" t="s">
        <v>974</v>
      </c>
      <c r="H487">
        <v>8.0603435206831761E-2</v>
      </c>
      <c r="I487">
        <v>6.6596033526074993E-5</v>
      </c>
      <c r="J487">
        <v>5.55</v>
      </c>
      <c r="K487">
        <v>5.5570466641587002</v>
      </c>
      <c r="L487" s="1">
        <v>47467</v>
      </c>
      <c r="M487" s="1">
        <v>43165</v>
      </c>
      <c r="N487" s="1">
        <v>43164</v>
      </c>
      <c r="R487">
        <v>-8.145116309348643E-3</v>
      </c>
      <c r="S487">
        <v>-8.145116309348643E-3</v>
      </c>
      <c r="T487" t="s">
        <v>32</v>
      </c>
      <c r="U487" t="s">
        <v>32</v>
      </c>
      <c r="V487">
        <v>2144236849</v>
      </c>
      <c r="W487" t="s">
        <v>280</v>
      </c>
      <c r="X487" t="s">
        <v>956</v>
      </c>
      <c r="Y487">
        <v>70000</v>
      </c>
      <c r="Z487" t="s">
        <v>31</v>
      </c>
      <c r="AA487">
        <v>2.7850845316844775E-2</v>
      </c>
      <c r="AB487">
        <v>112.3</v>
      </c>
      <c r="AC487" t="s">
        <v>50</v>
      </c>
      <c r="AD487" t="s">
        <v>50</v>
      </c>
      <c r="AE487" t="s">
        <v>168</v>
      </c>
      <c r="AF487">
        <v>9.7714849139223292E-2</v>
      </c>
      <c r="AG487">
        <v>3.25</v>
      </c>
      <c r="AH487" t="s">
        <v>244</v>
      </c>
      <c r="AI487" t="s">
        <v>244</v>
      </c>
      <c r="AJ487">
        <v>-8.1761918426675739E-3</v>
      </c>
      <c r="AK487">
        <v>1.4523141478708427E-2</v>
      </c>
      <c r="AL487">
        <v>2.2699333321376001E-2</v>
      </c>
      <c r="AM487" t="s">
        <v>168</v>
      </c>
      <c r="AN487" t="s">
        <v>150</v>
      </c>
      <c r="AO487" t="s">
        <v>50</v>
      </c>
      <c r="AP487" t="s">
        <v>31</v>
      </c>
      <c r="AQ487">
        <v>1.4191265786195901E-3</v>
      </c>
    </row>
    <row r="488" spans="1:43" x14ac:dyDescent="0.2">
      <c r="A488">
        <v>486</v>
      </c>
      <c r="B488">
        <v>127</v>
      </c>
      <c r="C488">
        <v>7</v>
      </c>
      <c r="F488" t="s">
        <v>49</v>
      </c>
      <c r="G488" t="s">
        <v>996</v>
      </c>
      <c r="I488">
        <v>7.976363781874403E-5</v>
      </c>
      <c r="J488">
        <v>8.2290974631322999</v>
      </c>
      <c r="K488">
        <v>8.2290974631322999</v>
      </c>
      <c r="L488" s="1"/>
      <c r="M488" s="1"/>
      <c r="N488" s="1">
        <v>43164</v>
      </c>
      <c r="R488">
        <v>-1.2254578206976457E-2</v>
      </c>
      <c r="S488">
        <v>-1.2254578206976457E-2</v>
      </c>
      <c r="T488" t="s">
        <v>32</v>
      </c>
      <c r="U488" t="s">
        <v>32</v>
      </c>
      <c r="AA488">
        <v>3.3357613376911857E-2</v>
      </c>
      <c r="AC488" t="s">
        <v>50</v>
      </c>
      <c r="AD488" t="s">
        <v>50</v>
      </c>
      <c r="AF488">
        <v>3.65</v>
      </c>
      <c r="AG488">
        <v>3.65</v>
      </c>
      <c r="AH488" t="s">
        <v>244</v>
      </c>
      <c r="AI488" t="s">
        <v>244</v>
      </c>
      <c r="AJ488">
        <v>-6.5088847997506003E-3</v>
      </c>
      <c r="AK488">
        <v>0</v>
      </c>
      <c r="AL488">
        <v>6.5088847997506003E-3</v>
      </c>
      <c r="AN488" t="s">
        <v>50</v>
      </c>
      <c r="AO488" t="s">
        <v>50</v>
      </c>
    </row>
    <row r="489" spans="1:43" x14ac:dyDescent="0.2">
      <c r="A489">
        <v>487</v>
      </c>
      <c r="B489">
        <v>125</v>
      </c>
      <c r="C489">
        <v>7</v>
      </c>
      <c r="D489">
        <v>43000</v>
      </c>
      <c r="E489" t="s">
        <v>957</v>
      </c>
      <c r="F489" t="s">
        <v>49</v>
      </c>
      <c r="G489" t="s">
        <v>958</v>
      </c>
      <c r="H489">
        <v>2.2217265100964688E-2</v>
      </c>
      <c r="I489">
        <v>3.8987435142935189E-7</v>
      </c>
      <c r="J489">
        <v>3.61</v>
      </c>
      <c r="K489">
        <v>3.6183726402862</v>
      </c>
      <c r="L489" s="1">
        <v>45627</v>
      </c>
      <c r="M489" s="1">
        <v>43165</v>
      </c>
      <c r="N489" s="1">
        <v>43164</v>
      </c>
      <c r="R489">
        <v>-2.3519489473039345E-3</v>
      </c>
      <c r="S489">
        <v>-2.3519489473039345E-3</v>
      </c>
      <c r="T489" t="s">
        <v>32</v>
      </c>
      <c r="U489" t="s">
        <v>32</v>
      </c>
      <c r="V489">
        <v>908647806</v>
      </c>
      <c r="W489" t="s">
        <v>959</v>
      </c>
      <c r="X489" t="s">
        <v>960</v>
      </c>
      <c r="Y489">
        <v>43000</v>
      </c>
      <c r="Z489" t="s">
        <v>31</v>
      </c>
      <c r="AA489">
        <v>1.6304770238925102E-4</v>
      </c>
      <c r="AB489">
        <v>101.42</v>
      </c>
      <c r="AC489" t="s">
        <v>144</v>
      </c>
      <c r="AD489" t="s">
        <v>144</v>
      </c>
      <c r="AE489" t="s">
        <v>444</v>
      </c>
      <c r="AF489">
        <v>0.12581484913922328</v>
      </c>
      <c r="AG489">
        <v>6.06</v>
      </c>
      <c r="AH489" t="s">
        <v>244</v>
      </c>
      <c r="AI489" t="s">
        <v>244</v>
      </c>
      <c r="AJ489">
        <v>-1.6576650265996175E-4</v>
      </c>
      <c r="AK489">
        <v>6.154367063979138E-3</v>
      </c>
      <c r="AL489">
        <v>6.3201335666390997E-3</v>
      </c>
      <c r="AM489" t="s">
        <v>444</v>
      </c>
      <c r="AN489" t="s">
        <v>140</v>
      </c>
      <c r="AO489" t="s">
        <v>144</v>
      </c>
      <c r="AP489" t="s">
        <v>31</v>
      </c>
      <c r="AQ489">
        <v>7.7431076370193975E-4</v>
      </c>
    </row>
    <row r="490" spans="1:43" x14ac:dyDescent="0.2">
      <c r="A490">
        <v>488</v>
      </c>
      <c r="B490">
        <v>102</v>
      </c>
      <c r="C490">
        <v>7</v>
      </c>
      <c r="D490">
        <v>20000</v>
      </c>
      <c r="E490" t="s">
        <v>406</v>
      </c>
      <c r="F490" t="s">
        <v>49</v>
      </c>
      <c r="G490" t="s">
        <v>720</v>
      </c>
      <c r="H490">
        <v>3.2329625052266761E-2</v>
      </c>
      <c r="I490">
        <v>-1.4136087571693335E-6</v>
      </c>
      <c r="J490">
        <v>6.69</v>
      </c>
      <c r="L490" s="1">
        <v>46174</v>
      </c>
      <c r="M490" s="1">
        <v>43165</v>
      </c>
      <c r="N490" s="1"/>
      <c r="R490">
        <v>-2.9251940194709343E-4</v>
      </c>
      <c r="T490" t="s">
        <v>32</v>
      </c>
      <c r="V490">
        <v>713488105</v>
      </c>
      <c r="W490" t="s">
        <v>408</v>
      </c>
      <c r="X490" t="s">
        <v>409</v>
      </c>
      <c r="Y490">
        <v>20000</v>
      </c>
      <c r="Z490" t="s">
        <v>31</v>
      </c>
      <c r="AA490">
        <v>-5.9117933531349577E-4</v>
      </c>
      <c r="AB490">
        <v>130.19999999999999</v>
      </c>
      <c r="AC490" t="s">
        <v>34</v>
      </c>
      <c r="AE490" t="s">
        <v>166</v>
      </c>
      <c r="AF490">
        <v>8.8014849139223278E-2</v>
      </c>
      <c r="AH490" t="s">
        <v>244</v>
      </c>
      <c r="AJ490">
        <v>4.8325299031788879E-3</v>
      </c>
      <c r="AK490">
        <v>4.8325299031788879E-3</v>
      </c>
      <c r="AL490">
        <v>0</v>
      </c>
      <c r="AN490" t="s">
        <v>50</v>
      </c>
      <c r="AQ490">
        <v>4.253343903890751E-4</v>
      </c>
    </row>
    <row r="491" spans="1:43" x14ac:dyDescent="0.2">
      <c r="A491">
        <v>489</v>
      </c>
      <c r="B491">
        <v>91</v>
      </c>
      <c r="C491">
        <v>7</v>
      </c>
      <c r="D491">
        <v>500</v>
      </c>
      <c r="E491" t="s">
        <v>900</v>
      </c>
      <c r="F491" t="s">
        <v>49</v>
      </c>
      <c r="G491" t="s">
        <v>901</v>
      </c>
      <c r="H491">
        <v>8.85884907666965E-4</v>
      </c>
      <c r="I491">
        <v>1.4673095918480835E-4</v>
      </c>
      <c r="J491">
        <v>8.48</v>
      </c>
      <c r="K491">
        <v>8.4845202527805004</v>
      </c>
      <c r="L491" s="1">
        <v>46905</v>
      </c>
      <c r="M491" s="1">
        <v>43165</v>
      </c>
      <c r="N491" s="1">
        <v>43164</v>
      </c>
      <c r="R491">
        <v>-5.2688367511407258E-3</v>
      </c>
      <c r="S491">
        <v>-5.2688367511407258E-3</v>
      </c>
      <c r="T491" t="s">
        <v>32</v>
      </c>
      <c r="U491" t="s">
        <v>32</v>
      </c>
      <c r="V491">
        <v>15423880</v>
      </c>
      <c r="W491" t="s">
        <v>900</v>
      </c>
      <c r="X491" t="s">
        <v>902</v>
      </c>
      <c r="Y491">
        <v>500</v>
      </c>
      <c r="Z491" t="s">
        <v>31</v>
      </c>
      <c r="AA491">
        <v>6.1363733409862953E-2</v>
      </c>
      <c r="AB491">
        <v>113.21</v>
      </c>
      <c r="AC491" t="s">
        <v>138</v>
      </c>
      <c r="AD491" t="s">
        <v>138</v>
      </c>
      <c r="AE491" t="s">
        <v>168</v>
      </c>
      <c r="AF491">
        <v>9.2214849139223287E-2</v>
      </c>
      <c r="AG491">
        <v>2.71</v>
      </c>
      <c r="AH491" t="s">
        <v>244</v>
      </c>
      <c r="AI491" t="s">
        <v>244</v>
      </c>
      <c r="AJ491">
        <v>-2.7848833834724612E-2</v>
      </c>
      <c r="AK491">
        <v>1.0446755986638738E-4</v>
      </c>
      <c r="AL491">
        <v>2.7953301394590999E-2</v>
      </c>
      <c r="AM491" t="s">
        <v>168</v>
      </c>
      <c r="AN491" t="s">
        <v>142</v>
      </c>
      <c r="AO491" t="s">
        <v>138</v>
      </c>
      <c r="AP491" t="s">
        <v>31</v>
      </c>
      <c r="AQ491">
        <v>9.6334602730216895E-6</v>
      </c>
    </row>
    <row r="492" spans="1:43" x14ac:dyDescent="0.2">
      <c r="A492">
        <v>490</v>
      </c>
      <c r="B492">
        <v>125</v>
      </c>
      <c r="C492">
        <v>7</v>
      </c>
      <c r="D492">
        <v>87000</v>
      </c>
      <c r="E492" t="s">
        <v>961</v>
      </c>
      <c r="F492" t="s">
        <v>49</v>
      </c>
      <c r="G492" t="s">
        <v>962</v>
      </c>
      <c r="H492">
        <v>5.5928977164940712E-2</v>
      </c>
      <c r="I492">
        <v>-2.9458779384244379E-6</v>
      </c>
      <c r="J492">
        <v>3.42</v>
      </c>
      <c r="K492">
        <v>3.4245940795563001</v>
      </c>
      <c r="L492" s="1">
        <v>45704</v>
      </c>
      <c r="M492" s="1">
        <v>43165</v>
      </c>
      <c r="N492" s="1">
        <v>43164</v>
      </c>
      <c r="R492">
        <v>-2.3519489473039345E-3</v>
      </c>
      <c r="S492">
        <v>-2.3519489473039345E-3</v>
      </c>
      <c r="T492" t="s">
        <v>32</v>
      </c>
      <c r="U492" t="s">
        <v>32</v>
      </c>
      <c r="V492">
        <v>2414476362</v>
      </c>
      <c r="W492" t="s">
        <v>963</v>
      </c>
      <c r="X492" t="s">
        <v>964</v>
      </c>
      <c r="Y492">
        <v>87000</v>
      </c>
      <c r="Z492" t="s">
        <v>31</v>
      </c>
      <c r="AA492">
        <v>-1.2319831443601012E-3</v>
      </c>
      <c r="AB492">
        <v>102.76</v>
      </c>
      <c r="AC492" t="s">
        <v>144</v>
      </c>
      <c r="AD492" t="s">
        <v>144</v>
      </c>
      <c r="AE492" t="s">
        <v>53</v>
      </c>
      <c r="AF492">
        <v>9.8714849139223293E-2</v>
      </c>
      <c r="AG492">
        <v>3.35</v>
      </c>
      <c r="AH492" t="s">
        <v>244</v>
      </c>
      <c r="AI492" t="s">
        <v>244</v>
      </c>
      <c r="AJ492">
        <v>1.2525263109139043E-3</v>
      </c>
      <c r="AK492">
        <v>1.6353502095011904E-2</v>
      </c>
      <c r="AL492">
        <v>1.5100975784097999E-2</v>
      </c>
      <c r="AM492" t="s">
        <v>53</v>
      </c>
      <c r="AN492" t="s">
        <v>140</v>
      </c>
      <c r="AO492" t="s">
        <v>144</v>
      </c>
      <c r="AP492" t="s">
        <v>31</v>
      </c>
      <c r="AQ492">
        <v>1.6143334922070721E-3</v>
      </c>
    </row>
    <row r="493" spans="1:43" x14ac:dyDescent="0.2">
      <c r="A493">
        <v>491</v>
      </c>
      <c r="B493">
        <v>102</v>
      </c>
      <c r="C493">
        <v>7</v>
      </c>
      <c r="D493">
        <v>76000</v>
      </c>
      <c r="E493" t="s">
        <v>721</v>
      </c>
      <c r="F493" t="s">
        <v>49</v>
      </c>
      <c r="G493" t="s">
        <v>722</v>
      </c>
      <c r="H493">
        <v>0.1318721498354134</v>
      </c>
      <c r="I493">
        <v>-4.7100320394789527E-6</v>
      </c>
      <c r="J493">
        <v>8.19</v>
      </c>
      <c r="L493" s="1">
        <v>46736</v>
      </c>
      <c r="M493" s="1">
        <v>43165</v>
      </c>
      <c r="N493" s="1"/>
      <c r="R493">
        <v>-2.9251940194709343E-4</v>
      </c>
      <c r="T493" t="s">
        <v>32</v>
      </c>
      <c r="V493">
        <v>2377285665</v>
      </c>
      <c r="W493" t="s">
        <v>723</v>
      </c>
      <c r="X493" t="s">
        <v>724</v>
      </c>
      <c r="Y493">
        <v>76000</v>
      </c>
      <c r="Z493" t="s">
        <v>31</v>
      </c>
      <c r="AA493">
        <v>-1.969762564275689E-3</v>
      </c>
      <c r="AB493">
        <v>114.98</v>
      </c>
      <c r="AC493" t="s">
        <v>34</v>
      </c>
      <c r="AE493" t="s">
        <v>169</v>
      </c>
      <c r="AF493">
        <v>8.9714849139223285E-2</v>
      </c>
      <c r="AH493" t="s">
        <v>244</v>
      </c>
      <c r="AJ493">
        <v>1.6101605596509572E-2</v>
      </c>
      <c r="AK493">
        <v>1.6101605596509572E-2</v>
      </c>
      <c r="AL493">
        <v>0</v>
      </c>
      <c r="AN493" t="s">
        <v>50</v>
      </c>
      <c r="AQ493">
        <v>1.4445531169901297E-3</v>
      </c>
    </row>
    <row r="494" spans="1:43" x14ac:dyDescent="0.2">
      <c r="A494">
        <v>492</v>
      </c>
      <c r="B494">
        <v>102</v>
      </c>
      <c r="C494">
        <v>7</v>
      </c>
      <c r="D494">
        <v>35000</v>
      </c>
      <c r="E494" t="s">
        <v>721</v>
      </c>
      <c r="F494" t="s">
        <v>49</v>
      </c>
      <c r="G494" t="s">
        <v>934</v>
      </c>
      <c r="H494">
        <v>8.1817402311746404E-2</v>
      </c>
      <c r="I494">
        <v>-2.299056445062132E-6</v>
      </c>
      <c r="J494">
        <v>10.41</v>
      </c>
      <c r="L494" s="1">
        <v>48061</v>
      </c>
      <c r="M494" s="1">
        <v>43165</v>
      </c>
      <c r="N494" s="1"/>
      <c r="R494">
        <v>-2.9251940194709343E-4</v>
      </c>
      <c r="T494" t="s">
        <v>32</v>
      </c>
      <c r="V494">
        <v>1160398461</v>
      </c>
      <c r="W494" t="s">
        <v>723</v>
      </c>
      <c r="X494" t="s">
        <v>935</v>
      </c>
      <c r="Y494">
        <v>35000</v>
      </c>
      <c r="Z494" t="s">
        <v>31</v>
      </c>
      <c r="AA494">
        <v>-9.6147866525789292E-4</v>
      </c>
      <c r="AB494">
        <v>122.48</v>
      </c>
      <c r="AC494" t="s">
        <v>34</v>
      </c>
      <c r="AE494" t="s">
        <v>169</v>
      </c>
      <c r="AF494">
        <v>9.2414849139223293E-2</v>
      </c>
      <c r="AH494" t="s">
        <v>244</v>
      </c>
      <c r="AJ494">
        <v>7.8595007023771757E-3</v>
      </c>
      <c r="AK494">
        <v>7.8595007023771757E-3</v>
      </c>
      <c r="AL494">
        <v>0</v>
      </c>
      <c r="AN494" t="s">
        <v>50</v>
      </c>
      <c r="AQ494">
        <v>7.2633457171980618E-4</v>
      </c>
    </row>
    <row r="495" spans="1:43" x14ac:dyDescent="0.2">
      <c r="A495">
        <v>493</v>
      </c>
      <c r="B495">
        <v>102</v>
      </c>
      <c r="C495">
        <v>7</v>
      </c>
      <c r="D495">
        <v>10000</v>
      </c>
      <c r="E495" t="s">
        <v>282</v>
      </c>
      <c r="F495" t="s">
        <v>49</v>
      </c>
      <c r="G495" t="s">
        <v>936</v>
      </c>
      <c r="H495">
        <v>2.0938790887393251E-2</v>
      </c>
      <c r="I495">
        <v>-6.13113372159712E-7</v>
      </c>
      <c r="J495">
        <v>9.99</v>
      </c>
      <c r="L495" s="1">
        <v>48549</v>
      </c>
      <c r="M495" s="1">
        <v>43165</v>
      </c>
      <c r="N495" s="1"/>
      <c r="R495">
        <v>-2.9251940194709343E-4</v>
      </c>
      <c r="T495" t="s">
        <v>32</v>
      </c>
      <c r="V495">
        <v>309455566</v>
      </c>
      <c r="W495" t="s">
        <v>283</v>
      </c>
      <c r="X495" t="s">
        <v>356</v>
      </c>
      <c r="Y495">
        <v>10000</v>
      </c>
      <c r="Z495" t="s">
        <v>31</v>
      </c>
      <c r="AA495">
        <v>-2.5640754840186385E-4</v>
      </c>
      <c r="AB495">
        <v>113.65</v>
      </c>
      <c r="AC495" t="s">
        <v>33</v>
      </c>
      <c r="AE495" t="s">
        <v>38</v>
      </c>
      <c r="AF495">
        <v>9.1614849139223284E-2</v>
      </c>
      <c r="AH495" t="s">
        <v>244</v>
      </c>
      <c r="AJ495">
        <v>2.0959750638031281E-3</v>
      </c>
      <c r="AK495">
        <v>2.0959750638031281E-3</v>
      </c>
      <c r="AL495">
        <v>0</v>
      </c>
      <c r="AN495" t="s">
        <v>144</v>
      </c>
      <c r="AQ495">
        <v>1.9202243926989747E-4</v>
      </c>
    </row>
    <row r="496" spans="1:43" x14ac:dyDescent="0.2">
      <c r="A496">
        <v>494</v>
      </c>
      <c r="B496">
        <v>89</v>
      </c>
      <c r="C496">
        <v>7</v>
      </c>
      <c r="D496">
        <v>40000</v>
      </c>
      <c r="E496" t="s">
        <v>856</v>
      </c>
      <c r="F496" t="s">
        <v>49</v>
      </c>
      <c r="G496" t="s">
        <v>857</v>
      </c>
      <c r="H496">
        <v>3.0768210409261667E-2</v>
      </c>
      <c r="I496">
        <v>3.3820656618806743E-5</v>
      </c>
      <c r="J496">
        <v>4.09</v>
      </c>
      <c r="K496">
        <v>4.0964497485814997</v>
      </c>
      <c r="L496" s="1">
        <v>44742</v>
      </c>
      <c r="M496" s="1">
        <v>43165</v>
      </c>
      <c r="N496" s="1">
        <v>43164</v>
      </c>
      <c r="R496">
        <v>-4.4615847120025569E-3</v>
      </c>
      <c r="S496">
        <v>-4.4615847120025569E-3</v>
      </c>
      <c r="T496" t="s">
        <v>32</v>
      </c>
      <c r="U496" t="s">
        <v>32</v>
      </c>
      <c r="V496">
        <v>1110685535</v>
      </c>
      <c r="W496" t="s">
        <v>858</v>
      </c>
      <c r="X496" t="s">
        <v>859</v>
      </c>
      <c r="Y496">
        <v>40000</v>
      </c>
      <c r="Z496" t="s">
        <v>31</v>
      </c>
      <c r="AA496">
        <v>1.4143993660458837E-2</v>
      </c>
      <c r="AB496">
        <v>101.36</v>
      </c>
      <c r="AC496" t="s">
        <v>146</v>
      </c>
      <c r="AD496" t="s">
        <v>146</v>
      </c>
      <c r="AE496" t="s">
        <v>40</v>
      </c>
      <c r="AF496">
        <v>8.5614849139223292E-2</v>
      </c>
      <c r="AG496">
        <v>2.04</v>
      </c>
      <c r="AH496" t="s">
        <v>244</v>
      </c>
      <c r="AI496" t="s">
        <v>244</v>
      </c>
      <c r="AJ496">
        <v>-7.5804134185376779E-3</v>
      </c>
      <c r="AK496">
        <v>7.5227898311153226E-3</v>
      </c>
      <c r="AL496">
        <v>1.5103203249653E-2</v>
      </c>
      <c r="AM496" t="s">
        <v>40</v>
      </c>
      <c r="AN496" t="s">
        <v>140</v>
      </c>
      <c r="AO496" t="s">
        <v>146</v>
      </c>
      <c r="AP496" t="s">
        <v>31</v>
      </c>
      <c r="AQ496">
        <v>6.4406251649702141E-4</v>
      </c>
    </row>
    <row r="497" spans="1:43" x14ac:dyDescent="0.2">
      <c r="A497">
        <v>495</v>
      </c>
      <c r="B497">
        <v>91</v>
      </c>
      <c r="C497">
        <v>7</v>
      </c>
      <c r="D497">
        <v>116000</v>
      </c>
      <c r="E497" t="s">
        <v>903</v>
      </c>
      <c r="F497" t="s">
        <v>49</v>
      </c>
      <c r="G497" t="s">
        <v>904</v>
      </c>
      <c r="H497">
        <v>0.2101006779802827</v>
      </c>
      <c r="I497">
        <v>-1.2019393849968474E-4</v>
      </c>
      <c r="J497">
        <v>9.2100000000000009</v>
      </c>
      <c r="L497" s="1">
        <v>49263</v>
      </c>
      <c r="M497" s="1">
        <v>43165</v>
      </c>
      <c r="N497" s="1"/>
      <c r="R497">
        <v>-5.2688367511407258E-3</v>
      </c>
      <c r="T497" t="s">
        <v>32</v>
      </c>
      <c r="V497">
        <v>3368061482</v>
      </c>
      <c r="W497" t="s">
        <v>905</v>
      </c>
      <c r="X497" t="s">
        <v>906</v>
      </c>
      <c r="Y497">
        <v>116000</v>
      </c>
      <c r="Z497" t="s">
        <v>31</v>
      </c>
      <c r="AA497">
        <v>-5.0265798305636225E-2</v>
      </c>
      <c r="AB497">
        <v>106.45</v>
      </c>
      <c r="AC497" t="s">
        <v>51</v>
      </c>
      <c r="AE497" t="s">
        <v>167</v>
      </c>
      <c r="AF497">
        <v>9.7914849139223284E-2</v>
      </c>
      <c r="AH497" t="s">
        <v>244</v>
      </c>
      <c r="AJ497">
        <v>2.2812234308391171E-2</v>
      </c>
      <c r="AK497">
        <v>2.2812234308391171E-2</v>
      </c>
      <c r="AL497">
        <v>0</v>
      </c>
      <c r="AN497" t="s">
        <v>145</v>
      </c>
      <c r="AQ497">
        <v>2.233656480834735E-3</v>
      </c>
    </row>
    <row r="498" spans="1:43" x14ac:dyDescent="0.2">
      <c r="A498">
        <v>496</v>
      </c>
      <c r="B498">
        <v>90</v>
      </c>
      <c r="C498">
        <v>7</v>
      </c>
      <c r="D498">
        <v>4500</v>
      </c>
      <c r="E498" t="s">
        <v>878</v>
      </c>
      <c r="F498" t="s">
        <v>49</v>
      </c>
      <c r="G498" t="s">
        <v>879</v>
      </c>
      <c r="H498">
        <v>5.762343743253167E-3</v>
      </c>
      <c r="I498">
        <v>-5.4655746006324418E-7</v>
      </c>
      <c r="J498">
        <v>6.22</v>
      </c>
      <c r="L498" s="1">
        <v>47741</v>
      </c>
      <c r="M498" s="1">
        <v>43165</v>
      </c>
      <c r="N498" s="1"/>
      <c r="R498">
        <v>-5.8996608898484774E-4</v>
      </c>
      <c r="T498" t="s">
        <v>32</v>
      </c>
      <c r="V498">
        <v>136779485</v>
      </c>
      <c r="W498" t="s">
        <v>880</v>
      </c>
      <c r="X498" t="s">
        <v>881</v>
      </c>
      <c r="Y498">
        <v>4500</v>
      </c>
      <c r="Z498" t="s">
        <v>31</v>
      </c>
      <c r="AA498">
        <v>-2.2857348209828331E-4</v>
      </c>
      <c r="AB498">
        <v>110.5</v>
      </c>
      <c r="AC498" t="s">
        <v>138</v>
      </c>
      <c r="AE498" t="s">
        <v>35</v>
      </c>
      <c r="AF498">
        <v>9.2114849139223284E-2</v>
      </c>
      <c r="AH498" t="s">
        <v>244</v>
      </c>
      <c r="AJ498">
        <v>9.2642182367414264E-4</v>
      </c>
      <c r="AK498">
        <v>9.2642182367414264E-4</v>
      </c>
      <c r="AL498">
        <v>0</v>
      </c>
      <c r="AN498" t="s">
        <v>142</v>
      </c>
      <c r="AQ498">
        <v>8.5337206527027765E-5</v>
      </c>
    </row>
    <row r="499" spans="1:43" x14ac:dyDescent="0.2">
      <c r="A499">
        <v>497</v>
      </c>
      <c r="B499">
        <v>87</v>
      </c>
      <c r="C499">
        <v>7</v>
      </c>
      <c r="D499">
        <v>2500</v>
      </c>
      <c r="E499" t="s">
        <v>296</v>
      </c>
      <c r="F499" t="s">
        <v>49</v>
      </c>
      <c r="G499" t="s">
        <v>297</v>
      </c>
      <c r="H499">
        <v>4.909473562096432E-4</v>
      </c>
      <c r="I499">
        <v>3.1364363748053406E-5</v>
      </c>
      <c r="J499">
        <v>1.04</v>
      </c>
      <c r="K499">
        <v>1.0496372183841001</v>
      </c>
      <c r="L499" s="1">
        <v>43556</v>
      </c>
      <c r="M499" s="1">
        <v>43165</v>
      </c>
      <c r="N499" s="1">
        <v>43164</v>
      </c>
      <c r="R499">
        <v>-1.6969714714083685E-3</v>
      </c>
      <c r="S499">
        <v>-1.6969714714083685E-3</v>
      </c>
      <c r="T499" t="s">
        <v>32</v>
      </c>
      <c r="U499" t="s">
        <v>32</v>
      </c>
      <c r="V499">
        <v>69696950</v>
      </c>
      <c r="W499" t="s">
        <v>203</v>
      </c>
      <c r="X499" t="s">
        <v>298</v>
      </c>
      <c r="Y499">
        <v>2500</v>
      </c>
      <c r="Z499" t="s">
        <v>31</v>
      </c>
      <c r="AA499">
        <v>1.3116757815107259E-2</v>
      </c>
      <c r="AB499">
        <v>101.96</v>
      </c>
      <c r="AC499" t="s">
        <v>138</v>
      </c>
      <c r="AD499" t="s">
        <v>138</v>
      </c>
      <c r="AE499" t="s">
        <v>41</v>
      </c>
      <c r="AF499">
        <v>8.0014849139223285E-2</v>
      </c>
      <c r="AG499">
        <v>1.48</v>
      </c>
      <c r="AH499" t="s">
        <v>244</v>
      </c>
      <c r="AI499" t="s">
        <v>244</v>
      </c>
      <c r="AJ499">
        <v>-1.8482552168082804E-2</v>
      </c>
      <c r="AK499">
        <v>4.7206476558619542E-4</v>
      </c>
      <c r="AL499">
        <v>1.8954616933669E-2</v>
      </c>
      <c r="AM499" t="s">
        <v>41</v>
      </c>
      <c r="AN499" t="s">
        <v>142</v>
      </c>
      <c r="AO499" t="s">
        <v>138</v>
      </c>
      <c r="AP499" t="s">
        <v>31</v>
      </c>
      <c r="AQ499">
        <v>3.7772191002322232E-5</v>
      </c>
    </row>
    <row r="500" spans="1:43" x14ac:dyDescent="0.2">
      <c r="A500">
        <v>498</v>
      </c>
      <c r="B500">
        <v>87</v>
      </c>
      <c r="C500">
        <v>7</v>
      </c>
      <c r="F500" t="s">
        <v>49</v>
      </c>
      <c r="G500" t="s">
        <v>305</v>
      </c>
      <c r="I500">
        <v>2.8741093125453625E-5</v>
      </c>
      <c r="J500">
        <v>1.9542246284377001</v>
      </c>
      <c r="K500">
        <v>1.9542246284377001</v>
      </c>
      <c r="L500" s="1"/>
      <c r="M500" s="1"/>
      <c r="N500" s="1">
        <v>43164</v>
      </c>
      <c r="R500">
        <v>-1.6969714714083685E-3</v>
      </c>
      <c r="S500">
        <v>-1.6969714714083685E-3</v>
      </c>
      <c r="T500" t="s">
        <v>32</v>
      </c>
      <c r="U500" t="s">
        <v>32</v>
      </c>
      <c r="W500" t="s">
        <v>203</v>
      </c>
      <c r="Z500" t="s">
        <v>31</v>
      </c>
      <c r="AA500">
        <v>1.2019690910880244E-2</v>
      </c>
      <c r="AC500" t="s">
        <v>138</v>
      </c>
      <c r="AD500" t="s">
        <v>138</v>
      </c>
      <c r="AE500" t="s">
        <v>41</v>
      </c>
      <c r="AF500">
        <v>1.7</v>
      </c>
      <c r="AG500">
        <v>1.7</v>
      </c>
      <c r="AH500" t="s">
        <v>244</v>
      </c>
      <c r="AI500" t="s">
        <v>244</v>
      </c>
      <c r="AJ500">
        <v>-1.6936697881903998E-2</v>
      </c>
      <c r="AK500">
        <v>0</v>
      </c>
      <c r="AL500">
        <v>1.6936697881903998E-2</v>
      </c>
      <c r="AM500" t="s">
        <v>41</v>
      </c>
      <c r="AN500" t="s">
        <v>138</v>
      </c>
      <c r="AO500" t="s">
        <v>138</v>
      </c>
      <c r="AP500" t="s">
        <v>31</v>
      </c>
    </row>
    <row r="501" spans="1:43" x14ac:dyDescent="0.2">
      <c r="A501">
        <v>499</v>
      </c>
      <c r="B501">
        <v>89</v>
      </c>
      <c r="C501">
        <v>7</v>
      </c>
      <c r="F501" t="s">
        <v>49</v>
      </c>
      <c r="G501" t="s">
        <v>861</v>
      </c>
      <c r="I501">
        <v>5.2329881907152713E-5</v>
      </c>
      <c r="J501">
        <v>3.480648774559</v>
      </c>
      <c r="K501">
        <v>3.480648774559</v>
      </c>
      <c r="L501" s="1"/>
      <c r="M501" s="1"/>
      <c r="N501" s="1">
        <v>43164</v>
      </c>
      <c r="R501">
        <v>-4.4615847120025569E-3</v>
      </c>
      <c r="S501">
        <v>-4.4615847120025569E-3</v>
      </c>
      <c r="T501" t="s">
        <v>32</v>
      </c>
      <c r="U501" t="s">
        <v>32</v>
      </c>
      <c r="W501" t="s">
        <v>862</v>
      </c>
      <c r="Z501" t="s">
        <v>31</v>
      </c>
      <c r="AA501">
        <v>2.1884658429007216E-2</v>
      </c>
      <c r="AC501" t="s">
        <v>51</v>
      </c>
      <c r="AD501" t="s">
        <v>51</v>
      </c>
      <c r="AE501" t="s">
        <v>35</v>
      </c>
      <c r="AF501">
        <v>2.12</v>
      </c>
      <c r="AG501">
        <v>2.12</v>
      </c>
      <c r="AH501" t="s">
        <v>244</v>
      </c>
      <c r="AI501" t="s">
        <v>244</v>
      </c>
      <c r="AJ501">
        <v>-1.172898987357E-2</v>
      </c>
      <c r="AK501">
        <v>0</v>
      </c>
      <c r="AL501">
        <v>1.172898987357E-2</v>
      </c>
      <c r="AM501" t="s">
        <v>35</v>
      </c>
      <c r="AN501" t="s">
        <v>51</v>
      </c>
      <c r="AO501" t="s">
        <v>51</v>
      </c>
      <c r="AP501" t="s">
        <v>31</v>
      </c>
    </row>
    <row r="502" spans="1:43" x14ac:dyDescent="0.2">
      <c r="A502">
        <v>500</v>
      </c>
      <c r="B502">
        <v>91</v>
      </c>
      <c r="C502">
        <v>7</v>
      </c>
      <c r="D502">
        <v>60500</v>
      </c>
      <c r="E502" t="s">
        <v>860</v>
      </c>
      <c r="F502" t="s">
        <v>49</v>
      </c>
      <c r="G502" t="s">
        <v>907</v>
      </c>
      <c r="H502">
        <v>0.12816141079354471</v>
      </c>
      <c r="I502">
        <v>3.4336920716410557E-6</v>
      </c>
      <c r="J502">
        <v>11.68</v>
      </c>
      <c r="K502">
        <v>11.692346047275</v>
      </c>
      <c r="L502" s="1">
        <v>50328</v>
      </c>
      <c r="M502" s="1">
        <v>43165</v>
      </c>
      <c r="N502" s="1">
        <v>43164</v>
      </c>
      <c r="R502">
        <v>-5.2688367511407258E-3</v>
      </c>
      <c r="S502">
        <v>-5.2688367511407258E-3</v>
      </c>
      <c r="T502" t="s">
        <v>32</v>
      </c>
      <c r="U502" t="s">
        <v>32</v>
      </c>
      <c r="V502">
        <v>1620043305</v>
      </c>
      <c r="W502" t="s">
        <v>862</v>
      </c>
      <c r="X502" t="s">
        <v>863</v>
      </c>
      <c r="Y502">
        <v>60500</v>
      </c>
      <c r="Z502" t="s">
        <v>31</v>
      </c>
      <c r="AA502">
        <v>1.4359898283657975E-3</v>
      </c>
      <c r="AB502">
        <v>98.29</v>
      </c>
      <c r="AC502" t="s">
        <v>138</v>
      </c>
      <c r="AD502" t="s">
        <v>51</v>
      </c>
      <c r="AE502" t="s">
        <v>35</v>
      </c>
      <c r="AF502">
        <v>9.4514849139223284E-2</v>
      </c>
      <c r="AG502">
        <v>2.94</v>
      </c>
      <c r="AH502" t="s">
        <v>244</v>
      </c>
      <c r="AI502" t="s">
        <v>244</v>
      </c>
      <c r="AJ502">
        <v>-6.5169832238541961E-4</v>
      </c>
      <c r="AK502">
        <v>1.097272352684458E-2</v>
      </c>
      <c r="AL502">
        <v>1.162442184923E-2</v>
      </c>
      <c r="AM502" t="s">
        <v>35</v>
      </c>
      <c r="AN502" t="s">
        <v>142</v>
      </c>
      <c r="AO502" t="s">
        <v>51</v>
      </c>
      <c r="AP502" t="s">
        <v>31</v>
      </c>
      <c r="AQ502">
        <v>1.0370853087861215E-3</v>
      </c>
    </row>
    <row r="503" spans="1:43" x14ac:dyDescent="0.2">
      <c r="A503">
        <v>501</v>
      </c>
      <c r="B503">
        <v>89</v>
      </c>
      <c r="C503">
        <v>7</v>
      </c>
      <c r="F503" t="s">
        <v>49</v>
      </c>
      <c r="G503" t="s">
        <v>997</v>
      </c>
      <c r="I503">
        <v>2.6224284884169523E-5</v>
      </c>
      <c r="J503">
        <v>4.2898870825555999</v>
      </c>
      <c r="K503">
        <v>4.2898870825555999</v>
      </c>
      <c r="L503" s="1"/>
      <c r="M503" s="1"/>
      <c r="N503" s="1">
        <v>43164</v>
      </c>
      <c r="R503">
        <v>-4.4615847120025569E-3</v>
      </c>
      <c r="S503">
        <v>-4.4615847120025569E-3</v>
      </c>
      <c r="T503" t="s">
        <v>32</v>
      </c>
      <c r="U503" t="s">
        <v>32</v>
      </c>
      <c r="AA503">
        <v>1.0967147188547013E-2</v>
      </c>
      <c r="AC503" t="s">
        <v>51</v>
      </c>
      <c r="AD503" t="s">
        <v>51</v>
      </c>
      <c r="AF503">
        <v>2.2599999999999998</v>
      </c>
      <c r="AG503">
        <v>2.2599999999999998</v>
      </c>
      <c r="AH503" t="s">
        <v>244</v>
      </c>
      <c r="AI503" t="s">
        <v>244</v>
      </c>
      <c r="AJ503">
        <v>-5.8777960247220996E-3</v>
      </c>
      <c r="AK503">
        <v>0</v>
      </c>
      <c r="AL503">
        <v>5.8777960247220996E-3</v>
      </c>
      <c r="AN503" t="s">
        <v>51</v>
      </c>
      <c r="AO503" t="s">
        <v>51</v>
      </c>
    </row>
    <row r="504" spans="1:43" x14ac:dyDescent="0.2">
      <c r="A504">
        <v>502</v>
      </c>
      <c r="B504">
        <v>91</v>
      </c>
      <c r="C504">
        <v>7</v>
      </c>
      <c r="F504" t="s">
        <v>49</v>
      </c>
      <c r="G504" t="s">
        <v>998</v>
      </c>
      <c r="I504">
        <v>6.4745885813774075E-5</v>
      </c>
      <c r="J504">
        <v>12.061978186024</v>
      </c>
      <c r="K504">
        <v>12.061978186024</v>
      </c>
      <c r="L504" s="1"/>
      <c r="M504" s="1"/>
      <c r="N504" s="1">
        <v>43164</v>
      </c>
      <c r="R504">
        <v>-5.2688367511407258E-3</v>
      </c>
      <c r="S504">
        <v>-5.2688367511407258E-3</v>
      </c>
      <c r="T504" t="s">
        <v>32</v>
      </c>
      <c r="U504" t="s">
        <v>32</v>
      </c>
      <c r="AA504">
        <v>2.7077102872733117E-2</v>
      </c>
      <c r="AC504" t="s">
        <v>51</v>
      </c>
      <c r="AD504" t="s">
        <v>51</v>
      </c>
      <c r="AF504">
        <v>2.97</v>
      </c>
      <c r="AG504">
        <v>2.97</v>
      </c>
      <c r="AH504" t="s">
        <v>244</v>
      </c>
      <c r="AI504" t="s">
        <v>244</v>
      </c>
      <c r="AJ504">
        <v>-1.228845926945E-2</v>
      </c>
      <c r="AK504">
        <v>0</v>
      </c>
      <c r="AL504">
        <v>1.228845926945E-2</v>
      </c>
      <c r="AN504" t="s">
        <v>51</v>
      </c>
      <c r="AO504" t="s">
        <v>51</v>
      </c>
    </row>
    <row r="505" spans="1:43" x14ac:dyDescent="0.2">
      <c r="A505">
        <v>503</v>
      </c>
      <c r="B505">
        <v>90</v>
      </c>
      <c r="C505">
        <v>7</v>
      </c>
      <c r="D505">
        <v>81000</v>
      </c>
      <c r="E505" t="s">
        <v>876</v>
      </c>
      <c r="F505" t="s">
        <v>49</v>
      </c>
      <c r="G505" t="s">
        <v>877</v>
      </c>
      <c r="H505">
        <v>0.1029478920966329</v>
      </c>
      <c r="I505">
        <v>-1.748890132350828E-6</v>
      </c>
      <c r="J505">
        <v>6.02</v>
      </c>
      <c r="K505">
        <v>6.0267066169341001</v>
      </c>
      <c r="L505" s="1">
        <v>47644</v>
      </c>
      <c r="M505" s="1">
        <v>43165</v>
      </c>
      <c r="N505" s="1">
        <v>43164</v>
      </c>
      <c r="R505">
        <v>-5.8996608898484774E-4</v>
      </c>
      <c r="S505">
        <v>-5.8996608898484774E-4</v>
      </c>
      <c r="T505" t="s">
        <v>32</v>
      </c>
      <c r="U505" t="s">
        <v>32</v>
      </c>
      <c r="V505">
        <v>2524835887</v>
      </c>
      <c r="W505" t="s">
        <v>862</v>
      </c>
      <c r="X505" t="s">
        <v>863</v>
      </c>
      <c r="Y505">
        <v>81000</v>
      </c>
      <c r="Z505" t="s">
        <v>31</v>
      </c>
      <c r="AA505">
        <v>-7.3139594016793734E-4</v>
      </c>
      <c r="AB505">
        <v>114.32</v>
      </c>
      <c r="AC505" t="s">
        <v>51</v>
      </c>
      <c r="AD505" t="s">
        <v>51</v>
      </c>
      <c r="AE505" t="s">
        <v>35</v>
      </c>
      <c r="AF505">
        <v>9.1414849139223292E-2</v>
      </c>
      <c r="AG505">
        <v>2.62</v>
      </c>
      <c r="AH505" t="s">
        <v>244</v>
      </c>
      <c r="AI505" t="s">
        <v>244</v>
      </c>
      <c r="AJ505">
        <v>2.9643909455205064E-3</v>
      </c>
      <c r="AK505">
        <v>1.7100978753593506E-2</v>
      </c>
      <c r="AL505">
        <v>1.4136587808073E-2</v>
      </c>
      <c r="AM505" t="s">
        <v>35</v>
      </c>
      <c r="AN505" t="s">
        <v>145</v>
      </c>
      <c r="AO505" t="s">
        <v>51</v>
      </c>
      <c r="AP505" t="s">
        <v>31</v>
      </c>
      <c r="AQ505">
        <v>1.5632833928928131E-3</v>
      </c>
    </row>
    <row r="506" spans="1:43" x14ac:dyDescent="0.2">
      <c r="A506">
        <v>504</v>
      </c>
      <c r="B506">
        <v>126</v>
      </c>
      <c r="C506">
        <v>7</v>
      </c>
      <c r="F506" t="s">
        <v>49</v>
      </c>
      <c r="G506" t="s">
        <v>999</v>
      </c>
      <c r="I506">
        <v>6.5978241319771224E-5</v>
      </c>
      <c r="J506">
        <v>5.0554784803033002</v>
      </c>
      <c r="K506">
        <v>5.0554784803033002</v>
      </c>
      <c r="L506" s="1"/>
      <c r="M506" s="1"/>
      <c r="N506" s="1">
        <v>43164</v>
      </c>
      <c r="R506">
        <v>-8.145116309348643E-3</v>
      </c>
      <c r="S506">
        <v>-8.145116309348643E-3</v>
      </c>
      <c r="T506" t="s">
        <v>32</v>
      </c>
      <c r="U506" t="s">
        <v>32</v>
      </c>
      <c r="W506" t="s">
        <v>285</v>
      </c>
      <c r="Z506" t="s">
        <v>31</v>
      </c>
      <c r="AA506">
        <v>2.7592481053018435E-2</v>
      </c>
      <c r="AC506" t="s">
        <v>50</v>
      </c>
      <c r="AD506" t="s">
        <v>50</v>
      </c>
      <c r="AE506" t="s">
        <v>44</v>
      </c>
      <c r="AF506">
        <v>2.83</v>
      </c>
      <c r="AG506">
        <v>2.83</v>
      </c>
      <c r="AH506" t="s">
        <v>244</v>
      </c>
      <c r="AI506" t="s">
        <v>244</v>
      </c>
      <c r="AJ506">
        <v>-8.1003436677809012E-3</v>
      </c>
      <c r="AK506">
        <v>0</v>
      </c>
      <c r="AL506">
        <v>8.1003436677809012E-3</v>
      </c>
      <c r="AM506" t="s">
        <v>44</v>
      </c>
      <c r="AN506" t="s">
        <v>50</v>
      </c>
      <c r="AO506" t="s">
        <v>50</v>
      </c>
      <c r="AP506" t="s">
        <v>31</v>
      </c>
    </row>
    <row r="507" spans="1:43" x14ac:dyDescent="0.2">
      <c r="A507">
        <v>505</v>
      </c>
      <c r="B507">
        <v>126</v>
      </c>
      <c r="C507">
        <v>7</v>
      </c>
      <c r="F507" t="s">
        <v>49</v>
      </c>
      <c r="G507" t="s">
        <v>1000</v>
      </c>
      <c r="I507">
        <v>7.9327984721764655E-5</v>
      </c>
      <c r="J507">
        <v>5.9168139957446</v>
      </c>
      <c r="K507">
        <v>5.9168139957446</v>
      </c>
      <c r="L507" s="1"/>
      <c r="M507" s="1"/>
      <c r="N507" s="1">
        <v>43164</v>
      </c>
      <c r="R507">
        <v>-8.145116309348643E-3</v>
      </c>
      <c r="S507">
        <v>-8.145116309348643E-3</v>
      </c>
      <c r="T507" t="s">
        <v>32</v>
      </c>
      <c r="U507" t="s">
        <v>32</v>
      </c>
      <c r="AA507">
        <v>3.3175420739102186E-2</v>
      </c>
      <c r="AC507" t="s">
        <v>50</v>
      </c>
      <c r="AD507" t="s">
        <v>50</v>
      </c>
      <c r="AF507">
        <v>2.86</v>
      </c>
      <c r="AG507">
        <v>2.86</v>
      </c>
      <c r="AH507" t="s">
        <v>244</v>
      </c>
      <c r="AI507" t="s">
        <v>244</v>
      </c>
      <c r="AJ507">
        <v>-9.7393311168209006E-3</v>
      </c>
      <c r="AK507">
        <v>0</v>
      </c>
      <c r="AL507">
        <v>9.7393311168209006E-3</v>
      </c>
      <c r="AN507" t="s">
        <v>50</v>
      </c>
      <c r="AO507" t="s">
        <v>50</v>
      </c>
    </row>
    <row r="508" spans="1:43" x14ac:dyDescent="0.2">
      <c r="A508">
        <v>506</v>
      </c>
      <c r="B508">
        <v>123</v>
      </c>
      <c r="C508">
        <v>7</v>
      </c>
      <c r="D508">
        <v>71000</v>
      </c>
      <c r="E508" t="s">
        <v>284</v>
      </c>
      <c r="F508" t="s">
        <v>49</v>
      </c>
      <c r="G508" t="s">
        <v>937</v>
      </c>
      <c r="H508">
        <v>1.5492059903773482E-2</v>
      </c>
      <c r="I508">
        <v>-1.0149433361860701E-6</v>
      </c>
      <c r="J508">
        <v>1.1399999999999999</v>
      </c>
      <c r="K508">
        <v>1.1424802684108</v>
      </c>
      <c r="L508" s="1">
        <v>43595</v>
      </c>
      <c r="M508" s="1">
        <v>43165</v>
      </c>
      <c r="N508" s="1">
        <v>43164</v>
      </c>
      <c r="R508">
        <v>-1.309528310656647E-3</v>
      </c>
      <c r="S508">
        <v>-1.309528310656647E-3</v>
      </c>
      <c r="T508" t="s">
        <v>32</v>
      </c>
      <c r="U508" t="s">
        <v>32</v>
      </c>
      <c r="V508">
        <v>2006395307</v>
      </c>
      <c r="W508" t="s">
        <v>285</v>
      </c>
      <c r="X508" t="s">
        <v>938</v>
      </c>
      <c r="Y508">
        <v>71000</v>
      </c>
      <c r="Z508" t="s">
        <v>31</v>
      </c>
      <c r="AA508">
        <v>-4.2445515693382787E-4</v>
      </c>
      <c r="AB508">
        <v>103.07</v>
      </c>
      <c r="AC508" t="s">
        <v>50</v>
      </c>
      <c r="AD508" t="s">
        <v>50</v>
      </c>
      <c r="AE508" t="s">
        <v>44</v>
      </c>
      <c r="AF508">
        <v>9.2514849139223282E-2</v>
      </c>
      <c r="AG508">
        <v>2.72</v>
      </c>
      <c r="AH508" t="s">
        <v>244</v>
      </c>
      <c r="AI508" t="s">
        <v>244</v>
      </c>
      <c r="AJ508">
        <v>7.7504497453525015E-4</v>
      </c>
      <c r="AK508">
        <v>1.3589526231380249E-2</v>
      </c>
      <c r="AL508">
        <v>1.2814481256844999E-2</v>
      </c>
      <c r="AM508" t="s">
        <v>44</v>
      </c>
      <c r="AN508" t="s">
        <v>150</v>
      </c>
      <c r="AO508" t="s">
        <v>50</v>
      </c>
      <c r="AP508" t="s">
        <v>31</v>
      </c>
      <c r="AQ508">
        <v>1.2572329691696612E-3</v>
      </c>
    </row>
    <row r="509" spans="1:43" x14ac:dyDescent="0.2">
      <c r="A509">
        <v>507</v>
      </c>
      <c r="B509">
        <v>145</v>
      </c>
      <c r="C509">
        <v>7</v>
      </c>
      <c r="D509">
        <v>200000000</v>
      </c>
      <c r="E509" t="s">
        <v>436</v>
      </c>
      <c r="F509" t="s">
        <v>49</v>
      </c>
      <c r="G509" t="s">
        <v>437</v>
      </c>
      <c r="H509">
        <v>8.3449982895564495E-4</v>
      </c>
      <c r="I509">
        <v>-7.7586093772796513E-7</v>
      </c>
      <c r="J509">
        <v>0.6</v>
      </c>
      <c r="L509" s="1">
        <v>43388</v>
      </c>
      <c r="M509" s="1">
        <v>43165</v>
      </c>
      <c r="N509" s="1"/>
      <c r="R509">
        <v>-5.5783901504133447E-4</v>
      </c>
      <c r="T509" t="s">
        <v>39</v>
      </c>
      <c r="V509">
        <v>205346445</v>
      </c>
      <c r="W509" t="s">
        <v>438</v>
      </c>
      <c r="X509" t="s">
        <v>439</v>
      </c>
      <c r="Y509">
        <v>200000000</v>
      </c>
      <c r="Z509" t="s">
        <v>31</v>
      </c>
      <c r="AA509">
        <v>-3.2446951897793059E-4</v>
      </c>
      <c r="AB509">
        <v>100.78</v>
      </c>
      <c r="AC509" t="s">
        <v>42</v>
      </c>
      <c r="AE509" t="s">
        <v>41</v>
      </c>
      <c r="AF509">
        <v>3.5499999999999997E-2</v>
      </c>
      <c r="AH509" t="s">
        <v>244</v>
      </c>
      <c r="AJ509">
        <v>1.3908330482594084E-3</v>
      </c>
      <c r="AK509">
        <v>1.3908330482594084E-3</v>
      </c>
      <c r="AL509">
        <v>0</v>
      </c>
      <c r="AN509" t="s">
        <v>138</v>
      </c>
      <c r="AQ509">
        <v>4.9374573213208994E-5</v>
      </c>
    </row>
    <row r="510" spans="1:43" x14ac:dyDescent="0.2">
      <c r="A510">
        <v>508</v>
      </c>
      <c r="B510">
        <v>127</v>
      </c>
      <c r="C510">
        <v>7</v>
      </c>
      <c r="F510" t="s">
        <v>49</v>
      </c>
      <c r="G510" t="s">
        <v>1044</v>
      </c>
      <c r="I510">
        <v>7.0634550943570037E-5</v>
      </c>
      <c r="J510">
        <v>8.5542881330699991</v>
      </c>
      <c r="K510">
        <v>8.5542881330699991</v>
      </c>
      <c r="L510" s="1"/>
      <c r="M510" s="1"/>
      <c r="N510" s="1">
        <v>43164</v>
      </c>
      <c r="R510">
        <v>-1.2254578206976457E-2</v>
      </c>
      <c r="S510">
        <v>-1.2254578206976457E-2</v>
      </c>
      <c r="T510" t="s">
        <v>32</v>
      </c>
      <c r="U510" t="s">
        <v>32</v>
      </c>
      <c r="AA510">
        <v>2.9539776593209739E-2</v>
      </c>
      <c r="AC510" t="s">
        <v>142</v>
      </c>
      <c r="AD510" t="s">
        <v>142</v>
      </c>
      <c r="AF510">
        <v>3.53</v>
      </c>
      <c r="AG510">
        <v>3.53</v>
      </c>
      <c r="AH510" t="s">
        <v>244</v>
      </c>
      <c r="AI510" t="s">
        <v>244</v>
      </c>
      <c r="AJ510">
        <v>-5.7639316303320998E-3</v>
      </c>
      <c r="AK510">
        <v>0</v>
      </c>
      <c r="AL510">
        <v>5.7639316303320998E-3</v>
      </c>
      <c r="AN510" t="s">
        <v>142</v>
      </c>
      <c r="AO510" t="s">
        <v>142</v>
      </c>
    </row>
    <row r="511" spans="1:43" x14ac:dyDescent="0.2">
      <c r="A511">
        <v>509</v>
      </c>
      <c r="B511">
        <v>127</v>
      </c>
      <c r="C511">
        <v>7</v>
      </c>
      <c r="F511" t="s">
        <v>49</v>
      </c>
      <c r="G511" t="s">
        <v>1001</v>
      </c>
      <c r="I511">
        <v>2.8254022532314735E-6</v>
      </c>
      <c r="J511">
        <v>8.0794520547944995</v>
      </c>
      <c r="K511">
        <v>8.0794520547944995</v>
      </c>
      <c r="L511" s="1"/>
      <c r="M511" s="1"/>
      <c r="N511" s="1">
        <v>43164</v>
      </c>
      <c r="R511">
        <v>-1.2254578206976457E-2</v>
      </c>
      <c r="S511">
        <v>-1.2254578206976457E-2</v>
      </c>
      <c r="T511" t="s">
        <v>32</v>
      </c>
      <c r="U511" t="s">
        <v>32</v>
      </c>
      <c r="AA511">
        <v>1.1815995179623462E-3</v>
      </c>
      <c r="AC511" t="s">
        <v>142</v>
      </c>
      <c r="AD511" t="s">
        <v>142</v>
      </c>
      <c r="AF511">
        <v>6.79</v>
      </c>
      <c r="AG511">
        <v>6.79</v>
      </c>
      <c r="AH511" t="s">
        <v>244</v>
      </c>
      <c r="AI511" t="s">
        <v>244</v>
      </c>
      <c r="AJ511">
        <v>-2.3055891484074001E-4</v>
      </c>
      <c r="AK511">
        <v>0</v>
      </c>
      <c r="AL511">
        <v>2.3055891484074001E-4</v>
      </c>
      <c r="AN511" t="s">
        <v>142</v>
      </c>
      <c r="AO511" t="s">
        <v>142</v>
      </c>
    </row>
    <row r="512" spans="1:43" x14ac:dyDescent="0.2">
      <c r="A512">
        <v>510</v>
      </c>
      <c r="B512">
        <v>127</v>
      </c>
      <c r="C512">
        <v>7</v>
      </c>
      <c r="F512" t="s">
        <v>49</v>
      </c>
      <c r="G512" t="s">
        <v>1002</v>
      </c>
      <c r="I512">
        <v>8.3198894304317756E-7</v>
      </c>
      <c r="J512">
        <v>24.843835616438</v>
      </c>
      <c r="K512">
        <v>24.843835616438</v>
      </c>
      <c r="L512" s="1"/>
      <c r="M512" s="1"/>
      <c r="N512" s="1">
        <v>43164</v>
      </c>
      <c r="R512">
        <v>-1.2254578206976457E-2</v>
      </c>
      <c r="S512">
        <v>-1.2254578206976457E-2</v>
      </c>
      <c r="T512" t="s">
        <v>32</v>
      </c>
      <c r="U512" t="s">
        <v>32</v>
      </c>
      <c r="AA512">
        <v>3.4794257452207142E-4</v>
      </c>
      <c r="AC512" t="s">
        <v>50</v>
      </c>
      <c r="AD512" t="s">
        <v>50</v>
      </c>
      <c r="AF512">
        <v>6.1</v>
      </c>
      <c r="AG512">
        <v>6.1</v>
      </c>
      <c r="AH512" t="s">
        <v>244</v>
      </c>
      <c r="AI512" t="s">
        <v>244</v>
      </c>
      <c r="AJ512">
        <v>-6.7892091346687992E-5</v>
      </c>
      <c r="AK512">
        <v>0</v>
      </c>
      <c r="AL512">
        <v>6.7892091346687992E-5</v>
      </c>
      <c r="AN512" t="s">
        <v>50</v>
      </c>
      <c r="AO512" t="s">
        <v>50</v>
      </c>
    </row>
    <row r="513" spans="1:43" x14ac:dyDescent="0.2">
      <c r="A513">
        <v>511</v>
      </c>
      <c r="B513">
        <v>126</v>
      </c>
      <c r="C513">
        <v>7</v>
      </c>
      <c r="F513" t="s">
        <v>49</v>
      </c>
      <c r="G513" t="s">
        <v>1003</v>
      </c>
      <c r="I513">
        <v>2.4114560685278977E-5</v>
      </c>
      <c r="J513">
        <v>5.7894442881621</v>
      </c>
      <c r="K513">
        <v>5.7894442881621</v>
      </c>
      <c r="L513" s="1"/>
      <c r="M513" s="1"/>
      <c r="N513" s="1">
        <v>43164</v>
      </c>
      <c r="R513">
        <v>-8.145116309348643E-3</v>
      </c>
      <c r="S513">
        <v>-8.145116309348643E-3</v>
      </c>
      <c r="T513" t="s">
        <v>32</v>
      </c>
      <c r="U513" t="s">
        <v>32</v>
      </c>
      <c r="AA513">
        <v>1.008484836062209E-2</v>
      </c>
      <c r="AC513" t="s">
        <v>144</v>
      </c>
      <c r="AD513" t="s">
        <v>144</v>
      </c>
      <c r="AF513">
        <v>4.91</v>
      </c>
      <c r="AG513">
        <v>4.91</v>
      </c>
      <c r="AH513" t="s">
        <v>244</v>
      </c>
      <c r="AI513" t="s">
        <v>244</v>
      </c>
      <c r="AJ513">
        <v>-2.9606158794321003E-3</v>
      </c>
      <c r="AK513">
        <v>0</v>
      </c>
      <c r="AL513">
        <v>2.9606158794321003E-3</v>
      </c>
      <c r="AN513" t="s">
        <v>144</v>
      </c>
      <c r="AO513" t="s">
        <v>144</v>
      </c>
    </row>
    <row r="514" spans="1:43" x14ac:dyDescent="0.2">
      <c r="A514">
        <v>512</v>
      </c>
      <c r="B514">
        <v>127</v>
      </c>
      <c r="C514">
        <v>7</v>
      </c>
      <c r="F514" t="s">
        <v>49</v>
      </c>
      <c r="G514" t="s">
        <v>1004</v>
      </c>
      <c r="I514">
        <v>4.0493926413235814E-6</v>
      </c>
      <c r="J514">
        <v>8.0794520547944995</v>
      </c>
      <c r="K514">
        <v>8.0794520547944995</v>
      </c>
      <c r="L514" s="1"/>
      <c r="M514" s="1"/>
      <c r="N514" s="1">
        <v>43164</v>
      </c>
      <c r="R514">
        <v>-1.2254578206976457E-2</v>
      </c>
      <c r="S514">
        <v>-1.2254578206976457E-2</v>
      </c>
      <c r="T514" t="s">
        <v>32</v>
      </c>
      <c r="U514" t="s">
        <v>32</v>
      </c>
      <c r="AA514">
        <v>1.6934793576935043E-3</v>
      </c>
      <c r="AC514" t="s">
        <v>50</v>
      </c>
      <c r="AD514" t="s">
        <v>50</v>
      </c>
      <c r="AF514">
        <v>5.49</v>
      </c>
      <c r="AG514">
        <v>5.49</v>
      </c>
      <c r="AH514" t="s">
        <v>244</v>
      </c>
      <c r="AI514" t="s">
        <v>244</v>
      </c>
      <c r="AJ514">
        <v>-3.3043916917664998E-4</v>
      </c>
      <c r="AK514">
        <v>0</v>
      </c>
      <c r="AL514">
        <v>3.3043916917664998E-4</v>
      </c>
      <c r="AN514" t="s">
        <v>50</v>
      </c>
      <c r="AO514" t="s">
        <v>50</v>
      </c>
    </row>
    <row r="515" spans="1:43" x14ac:dyDescent="0.2">
      <c r="A515">
        <v>513</v>
      </c>
      <c r="B515">
        <v>91</v>
      </c>
      <c r="C515">
        <v>7</v>
      </c>
      <c r="D515">
        <v>40000</v>
      </c>
      <c r="E515" t="s">
        <v>908</v>
      </c>
      <c r="F515" t="s">
        <v>49</v>
      </c>
      <c r="G515" t="s">
        <v>909</v>
      </c>
      <c r="H515">
        <v>8.050516802673939E-2</v>
      </c>
      <c r="I515">
        <v>8.1287832307385714E-5</v>
      </c>
      <c r="J515">
        <v>10.19</v>
      </c>
      <c r="K515">
        <v>10.201010463963</v>
      </c>
      <c r="L515" s="1">
        <v>49628</v>
      </c>
      <c r="M515" s="1">
        <v>43165</v>
      </c>
      <c r="N515" s="1">
        <v>43164</v>
      </c>
      <c r="R515">
        <v>-5.2688367511407258E-3</v>
      </c>
      <c r="S515">
        <v>-5.2688367511407258E-3</v>
      </c>
      <c r="T515" t="s">
        <v>32</v>
      </c>
      <c r="U515" t="s">
        <v>32</v>
      </c>
      <c r="V515">
        <v>1166438280</v>
      </c>
      <c r="W515" t="s">
        <v>910</v>
      </c>
      <c r="X515" t="s">
        <v>911</v>
      </c>
      <c r="Y515">
        <v>40000</v>
      </c>
      <c r="Z515" t="s">
        <v>31</v>
      </c>
      <c r="AA515">
        <v>3.3995040302936305E-2</v>
      </c>
      <c r="AB515">
        <v>107.1</v>
      </c>
      <c r="AC515" t="s">
        <v>138</v>
      </c>
      <c r="AD515" t="s">
        <v>138</v>
      </c>
      <c r="AE515" t="s">
        <v>38</v>
      </c>
      <c r="AF515">
        <v>9.2014849139223281E-2</v>
      </c>
      <c r="AG515">
        <v>2.69</v>
      </c>
      <c r="AH515" t="s">
        <v>244</v>
      </c>
      <c r="AI515" t="s">
        <v>244</v>
      </c>
      <c r="AJ515">
        <v>-1.5428041548219643E-2</v>
      </c>
      <c r="AK515">
        <v>7.9004090310833552E-3</v>
      </c>
      <c r="AL515">
        <v>2.3328450579302999E-2</v>
      </c>
      <c r="AM515" t="s">
        <v>38</v>
      </c>
      <c r="AN515" t="s">
        <v>142</v>
      </c>
      <c r="AO515" t="s">
        <v>138</v>
      </c>
      <c r="AP515" t="s">
        <v>31</v>
      </c>
      <c r="AQ515">
        <v>7.2695494513329208E-4</v>
      </c>
    </row>
    <row r="516" spans="1:43" x14ac:dyDescent="0.2">
      <c r="A516">
        <v>514</v>
      </c>
      <c r="B516">
        <v>91</v>
      </c>
      <c r="C516">
        <v>7</v>
      </c>
      <c r="D516">
        <v>20000</v>
      </c>
      <c r="E516" t="s">
        <v>908</v>
      </c>
      <c r="F516" t="s">
        <v>49</v>
      </c>
      <c r="G516" t="s">
        <v>912</v>
      </c>
      <c r="H516">
        <v>6.4620147609722955E-2</v>
      </c>
      <c r="I516">
        <v>-2.3036062827486257E-5</v>
      </c>
      <c r="J516">
        <v>14.78</v>
      </c>
      <c r="L516" s="1">
        <v>51789</v>
      </c>
      <c r="M516" s="1">
        <v>43165</v>
      </c>
      <c r="N516" s="1"/>
      <c r="R516">
        <v>-5.2688367511407258E-3</v>
      </c>
      <c r="T516" t="s">
        <v>32</v>
      </c>
      <c r="V516">
        <v>645514049</v>
      </c>
      <c r="W516" t="s">
        <v>910</v>
      </c>
      <c r="X516" t="s">
        <v>911</v>
      </c>
      <c r="Y516">
        <v>20000</v>
      </c>
      <c r="Z516" t="s">
        <v>31</v>
      </c>
      <c r="AA516">
        <v>-9.6338143361982057E-3</v>
      </c>
      <c r="AB516">
        <v>117.85</v>
      </c>
      <c r="AC516" t="s">
        <v>138</v>
      </c>
      <c r="AE516" t="s">
        <v>38</v>
      </c>
      <c r="AF516">
        <v>9.521484913922329E-2</v>
      </c>
      <c r="AH516" t="s">
        <v>244</v>
      </c>
      <c r="AJ516">
        <v>4.3721344796835565E-3</v>
      </c>
      <c r="AK516">
        <v>4.3721344796835565E-3</v>
      </c>
      <c r="AL516">
        <v>0</v>
      </c>
      <c r="AN516" t="s">
        <v>142</v>
      </c>
      <c r="AQ516">
        <v>4.1629212489946633E-4</v>
      </c>
    </row>
    <row r="517" spans="1:43" x14ac:dyDescent="0.2">
      <c r="A517">
        <v>515</v>
      </c>
      <c r="B517">
        <v>87</v>
      </c>
      <c r="C517">
        <v>7</v>
      </c>
      <c r="D517">
        <v>500</v>
      </c>
      <c r="E517" t="s">
        <v>287</v>
      </c>
      <c r="F517" t="s">
        <v>49</v>
      </c>
      <c r="G517" t="s">
        <v>303</v>
      </c>
      <c r="H517">
        <v>5.0699887696313157E-6</v>
      </c>
      <c r="I517">
        <v>-3.1865282601574656E-8</v>
      </c>
      <c r="J517">
        <v>0.27</v>
      </c>
      <c r="L517" s="1">
        <v>43358</v>
      </c>
      <c r="M517" s="1">
        <v>43165</v>
      </c>
      <c r="N517" s="1"/>
      <c r="R517">
        <v>-1.6969714714083685E-3</v>
      </c>
      <c r="T517" t="s">
        <v>32</v>
      </c>
      <c r="V517">
        <v>2772397</v>
      </c>
      <c r="W517" t="s">
        <v>288</v>
      </c>
      <c r="X517" t="s">
        <v>304</v>
      </c>
      <c r="Y517">
        <v>500</v>
      </c>
      <c r="Z517" t="s">
        <v>31</v>
      </c>
      <c r="AA517">
        <v>-1.3326244968726538E-5</v>
      </c>
      <c r="AB517">
        <v>100.72</v>
      </c>
      <c r="AC517" t="s">
        <v>138</v>
      </c>
      <c r="AE517" t="s">
        <v>44</v>
      </c>
      <c r="AF517">
        <v>8.3314849139223282E-2</v>
      </c>
      <c r="AH517" t="s">
        <v>244</v>
      </c>
      <c r="AJ517">
        <v>1.8777736183819685E-5</v>
      </c>
      <c r="AK517">
        <v>1.8777736183819685E-5</v>
      </c>
      <c r="AL517">
        <v>0</v>
      </c>
      <c r="AN517" t="s">
        <v>142</v>
      </c>
      <c r="AQ517">
        <v>1.5644642573310714E-6</v>
      </c>
    </row>
    <row r="518" spans="1:43" x14ac:dyDescent="0.2">
      <c r="A518">
        <v>516</v>
      </c>
      <c r="B518">
        <v>90</v>
      </c>
      <c r="C518">
        <v>7</v>
      </c>
      <c r="D518">
        <v>10000</v>
      </c>
      <c r="E518" t="s">
        <v>287</v>
      </c>
      <c r="F518" t="s">
        <v>49</v>
      </c>
      <c r="G518" t="s">
        <v>750</v>
      </c>
      <c r="H518">
        <v>1.2664265436851268E-2</v>
      </c>
      <c r="I518">
        <v>-1.2926448355787416E-6</v>
      </c>
      <c r="J518">
        <v>5.78</v>
      </c>
      <c r="L518" s="1">
        <v>47557</v>
      </c>
      <c r="M518" s="1">
        <v>43165</v>
      </c>
      <c r="N518" s="1"/>
      <c r="R518">
        <v>-5.8996608898484774E-4</v>
      </c>
      <c r="T518" t="s">
        <v>32</v>
      </c>
      <c r="V518">
        <v>323492602</v>
      </c>
      <c r="W518" t="s">
        <v>288</v>
      </c>
      <c r="X518" t="s">
        <v>304</v>
      </c>
      <c r="Y518">
        <v>10000</v>
      </c>
      <c r="Z518" t="s">
        <v>31</v>
      </c>
      <c r="AA518">
        <v>-5.405915256383229E-4</v>
      </c>
      <c r="AB518">
        <v>117.13</v>
      </c>
      <c r="AC518" t="s">
        <v>138</v>
      </c>
      <c r="AE518" t="s">
        <v>44</v>
      </c>
      <c r="AF518">
        <v>8.8814849139223287E-2</v>
      </c>
      <c r="AH518" t="s">
        <v>244</v>
      </c>
      <c r="AJ518">
        <v>2.1910493835382815E-3</v>
      </c>
      <c r="AK518">
        <v>2.1910493835382815E-3</v>
      </c>
      <c r="AL518">
        <v>0</v>
      </c>
      <c r="AN518" t="s">
        <v>142</v>
      </c>
      <c r="AQ518">
        <v>1.9459772045554065E-4</v>
      </c>
    </row>
    <row r="519" spans="1:43" x14ac:dyDescent="0.2">
      <c r="A519">
        <v>517</v>
      </c>
      <c r="B519">
        <v>91</v>
      </c>
      <c r="C519">
        <v>7</v>
      </c>
      <c r="D519">
        <v>57500</v>
      </c>
      <c r="E519" t="s">
        <v>287</v>
      </c>
      <c r="F519" t="s">
        <v>49</v>
      </c>
      <c r="G519" t="s">
        <v>751</v>
      </c>
      <c r="H519">
        <v>9.6711329313674835E-2</v>
      </c>
      <c r="I519">
        <v>8.3134437598826025E-5</v>
      </c>
      <c r="J519">
        <v>8.1199999999999992</v>
      </c>
      <c r="K519">
        <v>8.1308784677763004</v>
      </c>
      <c r="L519" s="1">
        <v>48653</v>
      </c>
      <c r="M519" s="1">
        <v>43165</v>
      </c>
      <c r="N519" s="1">
        <v>43164</v>
      </c>
      <c r="R519">
        <v>-5.2688367511407258E-3</v>
      </c>
      <c r="S519">
        <v>-5.2688367511407258E-3</v>
      </c>
      <c r="T519" t="s">
        <v>32</v>
      </c>
      <c r="U519" t="s">
        <v>32</v>
      </c>
      <c r="V519">
        <v>1758464117</v>
      </c>
      <c r="W519" t="s">
        <v>288</v>
      </c>
      <c r="X519" t="s">
        <v>304</v>
      </c>
      <c r="Y519">
        <v>57500</v>
      </c>
      <c r="Z519" t="s">
        <v>31</v>
      </c>
      <c r="AA519">
        <v>3.476730128621295E-2</v>
      </c>
      <c r="AB519">
        <v>111.38</v>
      </c>
      <c r="AC519" t="s">
        <v>138</v>
      </c>
      <c r="AD519" t="s">
        <v>138</v>
      </c>
      <c r="AE519" t="s">
        <v>44</v>
      </c>
      <c r="AF519">
        <v>9.1114849139223283E-2</v>
      </c>
      <c r="AG519">
        <v>2.6</v>
      </c>
      <c r="AH519" t="s">
        <v>244</v>
      </c>
      <c r="AI519" t="s">
        <v>244</v>
      </c>
      <c r="AJ519">
        <v>-1.5778518395132866E-2</v>
      </c>
      <c r="AK519">
        <v>1.1910262230748134E-2</v>
      </c>
      <c r="AL519">
        <v>2.7688780625880999E-2</v>
      </c>
      <c r="AM519" t="s">
        <v>44</v>
      </c>
      <c r="AN519" t="s">
        <v>142</v>
      </c>
      <c r="AO519" t="s">
        <v>138</v>
      </c>
      <c r="AP519" t="s">
        <v>31</v>
      </c>
      <c r="AQ519">
        <v>1.0852017463632052E-3</v>
      </c>
    </row>
    <row r="520" spans="1:43" x14ac:dyDescent="0.2">
      <c r="A520">
        <v>518</v>
      </c>
      <c r="B520">
        <v>102</v>
      </c>
      <c r="C520">
        <v>7</v>
      </c>
      <c r="D520">
        <v>57000</v>
      </c>
      <c r="E520" t="s">
        <v>292</v>
      </c>
      <c r="F520" t="s">
        <v>49</v>
      </c>
      <c r="G520" t="s">
        <v>758</v>
      </c>
      <c r="H520">
        <v>7.7614404893162833E-2</v>
      </c>
      <c r="I520">
        <v>-3.5145076318618508E-6</v>
      </c>
      <c r="J520">
        <v>6.46</v>
      </c>
      <c r="L520" s="1">
        <v>47818</v>
      </c>
      <c r="M520" s="1">
        <v>43165</v>
      </c>
      <c r="N520" s="1"/>
      <c r="R520">
        <v>-2.9251940194709343E-4</v>
      </c>
      <c r="T520" t="s">
        <v>32</v>
      </c>
      <c r="V520">
        <v>1773870866</v>
      </c>
      <c r="W520" t="s">
        <v>293</v>
      </c>
      <c r="X520" t="s">
        <v>759</v>
      </c>
      <c r="Y520">
        <v>57000</v>
      </c>
      <c r="Z520" t="s">
        <v>31</v>
      </c>
      <c r="AA520">
        <v>-1.4697873617582667E-3</v>
      </c>
      <c r="AB520">
        <v>114.14</v>
      </c>
      <c r="AC520" t="s">
        <v>34</v>
      </c>
      <c r="AE520" t="s">
        <v>170</v>
      </c>
      <c r="AF520">
        <v>8.8414849139223289E-2</v>
      </c>
      <c r="AH520" t="s">
        <v>244</v>
      </c>
      <c r="AJ520">
        <v>1.2014613760551523E-2</v>
      </c>
      <c r="AK520">
        <v>1.2014613760551523E-2</v>
      </c>
      <c r="AL520">
        <v>0</v>
      </c>
      <c r="AN520" t="s">
        <v>50</v>
      </c>
      <c r="AQ520">
        <v>1.0622702631051992E-3</v>
      </c>
    </row>
    <row r="521" spans="1:43" x14ac:dyDescent="0.2">
      <c r="A521">
        <v>519</v>
      </c>
      <c r="B521">
        <v>90</v>
      </c>
      <c r="C521">
        <v>7</v>
      </c>
      <c r="D521">
        <v>105000</v>
      </c>
      <c r="E521" t="s">
        <v>294</v>
      </c>
      <c r="F521" t="s">
        <v>49</v>
      </c>
      <c r="G521" t="s">
        <v>761</v>
      </c>
      <c r="H521">
        <v>0.12492700273135773</v>
      </c>
      <c r="I521">
        <v>-1.2885086575178063E-5</v>
      </c>
      <c r="J521">
        <v>5.72</v>
      </c>
      <c r="L521" s="1">
        <v>47488</v>
      </c>
      <c r="M521" s="1">
        <v>43165</v>
      </c>
      <c r="N521" s="1"/>
      <c r="R521">
        <v>-5.8996608898484774E-4</v>
      </c>
      <c r="T521" t="s">
        <v>32</v>
      </c>
      <c r="V521">
        <v>3224574971</v>
      </c>
      <c r="W521" t="s">
        <v>295</v>
      </c>
      <c r="X521" t="s">
        <v>459</v>
      </c>
      <c r="Y521">
        <v>105000</v>
      </c>
      <c r="Z521" t="s">
        <v>31</v>
      </c>
      <c r="AA521">
        <v>-5.3886175211760807E-3</v>
      </c>
      <c r="AB521">
        <v>113.05</v>
      </c>
      <c r="AC521" t="s">
        <v>138</v>
      </c>
      <c r="AE521" t="s">
        <v>168</v>
      </c>
      <c r="AF521">
        <v>9.1314849139223289E-2</v>
      </c>
      <c r="AH521" t="s">
        <v>244</v>
      </c>
      <c r="AJ521">
        <v>2.184038509289471E-2</v>
      </c>
      <c r="AK521">
        <v>2.184038509289471E-2</v>
      </c>
      <c r="AL521">
        <v>0</v>
      </c>
      <c r="AN521" t="s">
        <v>142</v>
      </c>
      <c r="AQ521">
        <v>1.9943514699002217E-3</v>
      </c>
    </row>
    <row r="522" spans="1:43" x14ac:dyDescent="0.2">
      <c r="A522">
        <v>520</v>
      </c>
      <c r="B522">
        <v>91</v>
      </c>
      <c r="C522">
        <v>7</v>
      </c>
      <c r="D522">
        <v>25000</v>
      </c>
      <c r="E522" t="s">
        <v>294</v>
      </c>
      <c r="F522" t="s">
        <v>49</v>
      </c>
      <c r="G522" t="s">
        <v>913</v>
      </c>
      <c r="H522">
        <v>5.7167434745953802E-2</v>
      </c>
      <c r="I522">
        <v>-2.585458207364126E-5</v>
      </c>
      <c r="J522">
        <v>11.65</v>
      </c>
      <c r="L522" s="1">
        <v>48611</v>
      </c>
      <c r="M522" s="1">
        <v>43165</v>
      </c>
      <c r="N522" s="1"/>
      <c r="R522">
        <v>-5.2688367511407258E-3</v>
      </c>
      <c r="T522" t="s">
        <v>32</v>
      </c>
      <c r="V522">
        <v>724494289</v>
      </c>
      <c r="W522" t="s">
        <v>295</v>
      </c>
      <c r="X522" t="s">
        <v>459</v>
      </c>
      <c r="Y522">
        <v>25000</v>
      </c>
      <c r="Z522" t="s">
        <v>31</v>
      </c>
      <c r="AA522">
        <v>-1.0812535340903054E-2</v>
      </c>
      <c r="AB522">
        <v>107.15</v>
      </c>
      <c r="AC522" t="s">
        <v>138</v>
      </c>
      <c r="AE522" t="s">
        <v>168</v>
      </c>
      <c r="AF522">
        <v>9.681484913922328E-2</v>
      </c>
      <c r="AH522" t="s">
        <v>244</v>
      </c>
      <c r="AJ522">
        <v>4.9070759438586955E-3</v>
      </c>
      <c r="AK522">
        <v>4.9070759438586955E-3</v>
      </c>
      <c r="AL522">
        <v>0</v>
      </c>
      <c r="AN522" t="s">
        <v>142</v>
      </c>
      <c r="AQ522">
        <v>4.750778172193913E-4</v>
      </c>
    </row>
    <row r="523" spans="1:43" x14ac:dyDescent="0.2">
      <c r="A523">
        <v>521</v>
      </c>
      <c r="B523">
        <v>124</v>
      </c>
      <c r="C523">
        <v>7</v>
      </c>
      <c r="F523" t="s">
        <v>49</v>
      </c>
      <c r="G523" t="s">
        <v>1005</v>
      </c>
      <c r="I523">
        <v>2.2973651345631339E-6</v>
      </c>
      <c r="J523">
        <v>2.3373754455329001</v>
      </c>
      <c r="K523">
        <v>2.3373754455329001</v>
      </c>
      <c r="L523" s="1"/>
      <c r="M523" s="1"/>
      <c r="N523" s="1">
        <v>43164</v>
      </c>
      <c r="R523">
        <v>-3.9405654094077473E-3</v>
      </c>
      <c r="S523">
        <v>-3.9405654094077473E-3</v>
      </c>
      <c r="T523" t="s">
        <v>32</v>
      </c>
      <c r="U523" t="s">
        <v>32</v>
      </c>
      <c r="AA523">
        <v>9.6077134945248672E-4</v>
      </c>
      <c r="AC523" t="s">
        <v>50</v>
      </c>
      <c r="AD523" t="s">
        <v>50</v>
      </c>
      <c r="AF523">
        <v>4.8</v>
      </c>
      <c r="AG523">
        <v>4.8</v>
      </c>
      <c r="AH523" t="s">
        <v>244</v>
      </c>
      <c r="AI523" t="s">
        <v>244</v>
      </c>
      <c r="AJ523">
        <v>-5.8300393366860002E-4</v>
      </c>
      <c r="AK523">
        <v>0</v>
      </c>
      <c r="AL523">
        <v>5.8300393366860002E-4</v>
      </c>
      <c r="AN523" t="s">
        <v>50</v>
      </c>
      <c r="AO523" t="s">
        <v>50</v>
      </c>
    </row>
    <row r="524" spans="1:43" x14ac:dyDescent="0.2">
      <c r="A524">
        <v>522</v>
      </c>
      <c r="B524">
        <v>124</v>
      </c>
      <c r="C524">
        <v>7</v>
      </c>
      <c r="F524" t="s">
        <v>49</v>
      </c>
      <c r="G524" t="s">
        <v>1006</v>
      </c>
      <c r="I524">
        <v>1.0871631857053927E-7</v>
      </c>
      <c r="J524">
        <v>2.3461661693406</v>
      </c>
      <c r="K524">
        <v>2.3461661693406</v>
      </c>
      <c r="L524" s="1"/>
      <c r="M524" s="1"/>
      <c r="N524" s="1">
        <v>43164</v>
      </c>
      <c r="R524">
        <v>-3.9405654094077473E-3</v>
      </c>
      <c r="S524">
        <v>-3.9405654094077473E-3</v>
      </c>
      <c r="T524" t="s">
        <v>32</v>
      </c>
      <c r="U524" t="s">
        <v>32</v>
      </c>
      <c r="AA524">
        <v>4.5465791453471295E-5</v>
      </c>
      <c r="AC524" t="s">
        <v>50</v>
      </c>
      <c r="AD524" t="s">
        <v>50</v>
      </c>
      <c r="AF524">
        <v>4.8</v>
      </c>
      <c r="AG524">
        <v>4.8</v>
      </c>
      <c r="AH524" t="s">
        <v>244</v>
      </c>
      <c r="AI524" t="s">
        <v>244</v>
      </c>
      <c r="AJ524">
        <v>-2.7589015096917002E-5</v>
      </c>
      <c r="AK524">
        <v>0</v>
      </c>
      <c r="AL524">
        <v>2.7589015096917002E-5</v>
      </c>
      <c r="AN524" t="s">
        <v>50</v>
      </c>
      <c r="AO524" t="s">
        <v>50</v>
      </c>
    </row>
    <row r="525" spans="1:43" x14ac:dyDescent="0.2">
      <c r="A525">
        <v>523</v>
      </c>
      <c r="B525">
        <v>91</v>
      </c>
      <c r="C525">
        <v>7</v>
      </c>
      <c r="D525">
        <v>53500</v>
      </c>
      <c r="E525" t="s">
        <v>914</v>
      </c>
      <c r="F525" t="s">
        <v>49</v>
      </c>
      <c r="G525" t="s">
        <v>915</v>
      </c>
      <c r="H525">
        <v>0.13752172718375963</v>
      </c>
      <c r="I525">
        <v>7.0323440247987992E-5</v>
      </c>
      <c r="J525">
        <v>11.45</v>
      </c>
      <c r="K525">
        <v>11.454569973058</v>
      </c>
      <c r="L525" s="1">
        <v>49195</v>
      </c>
      <c r="M525" s="1">
        <v>43165</v>
      </c>
      <c r="N525" s="1">
        <v>43164</v>
      </c>
      <c r="R525">
        <v>-5.2688367511407258E-3</v>
      </c>
      <c r="S525">
        <v>-5.2688367511407258E-3</v>
      </c>
      <c r="T525" t="s">
        <v>32</v>
      </c>
      <c r="U525" t="s">
        <v>32</v>
      </c>
      <c r="V525">
        <v>1773282869</v>
      </c>
      <c r="W525" t="s">
        <v>916</v>
      </c>
      <c r="X525" t="s">
        <v>917</v>
      </c>
      <c r="Y525">
        <v>53500</v>
      </c>
      <c r="Z525" t="s">
        <v>31</v>
      </c>
      <c r="AA525">
        <v>2.9409668305969496E-2</v>
      </c>
      <c r="AB525">
        <v>120.24</v>
      </c>
      <c r="AC525" t="s">
        <v>138</v>
      </c>
      <c r="AD525" t="s">
        <v>138</v>
      </c>
      <c r="AE525" t="s">
        <v>41</v>
      </c>
      <c r="AF525">
        <v>9.4914849139223281E-2</v>
      </c>
      <c r="AG525">
        <v>2.98</v>
      </c>
      <c r="AH525" t="s">
        <v>244</v>
      </c>
      <c r="AI525" t="s">
        <v>244</v>
      </c>
      <c r="AJ525">
        <v>-1.3347052408249821E-2</v>
      </c>
      <c r="AK525">
        <v>1.2010631195088179E-2</v>
      </c>
      <c r="AL525">
        <v>2.5357683603338E-2</v>
      </c>
      <c r="AM525" t="s">
        <v>41</v>
      </c>
      <c r="AN525" t="s">
        <v>142</v>
      </c>
      <c r="AO525" t="s">
        <v>138</v>
      </c>
      <c r="AP525" t="s">
        <v>31</v>
      </c>
      <c r="AQ525">
        <v>1.1399872479486435E-3</v>
      </c>
    </row>
    <row r="526" spans="1:43" x14ac:dyDescent="0.2">
      <c r="A526">
        <v>524</v>
      </c>
      <c r="B526">
        <v>91</v>
      </c>
      <c r="C526">
        <v>7</v>
      </c>
      <c r="D526">
        <v>65000</v>
      </c>
      <c r="E526" t="s">
        <v>914</v>
      </c>
      <c r="F526" t="s">
        <v>49</v>
      </c>
      <c r="G526" t="s">
        <v>918</v>
      </c>
      <c r="H526">
        <v>0.1851582068918409</v>
      </c>
      <c r="I526">
        <v>-7.586068158997273E-5</v>
      </c>
      <c r="J526">
        <v>12.86</v>
      </c>
      <c r="L526" s="1">
        <v>49926</v>
      </c>
      <c r="M526" s="1">
        <v>43165</v>
      </c>
      <c r="N526" s="1"/>
      <c r="R526">
        <v>-5.2688367511407258E-3</v>
      </c>
      <c r="T526" t="s">
        <v>32</v>
      </c>
      <c r="V526">
        <v>2125759775</v>
      </c>
      <c r="W526" t="s">
        <v>916</v>
      </c>
      <c r="X526" t="s">
        <v>917</v>
      </c>
      <c r="Y526">
        <v>65000</v>
      </c>
      <c r="Z526" t="s">
        <v>31</v>
      </c>
      <c r="AA526">
        <v>-3.172537457152768E-2</v>
      </c>
      <c r="AB526">
        <v>118.75</v>
      </c>
      <c r="AC526" t="s">
        <v>138</v>
      </c>
      <c r="AE526" t="s">
        <v>41</v>
      </c>
      <c r="AF526">
        <v>9.5814849139223279E-2</v>
      </c>
      <c r="AH526" t="s">
        <v>244</v>
      </c>
      <c r="AJ526">
        <v>1.4397994315073165E-2</v>
      </c>
      <c r="AK526">
        <v>1.4397994315073165E-2</v>
      </c>
      <c r="AL526">
        <v>0</v>
      </c>
      <c r="AN526" t="s">
        <v>142</v>
      </c>
      <c r="AQ526">
        <v>1.3795416532061296E-3</v>
      </c>
    </row>
    <row r="527" spans="1:43" x14ac:dyDescent="0.2">
      <c r="A527">
        <v>525</v>
      </c>
      <c r="B527">
        <v>87</v>
      </c>
      <c r="C527">
        <v>7</v>
      </c>
      <c r="D527">
        <v>10000</v>
      </c>
      <c r="E527" t="s">
        <v>442</v>
      </c>
      <c r="F527" t="s">
        <v>49</v>
      </c>
      <c r="G527" t="s">
        <v>791</v>
      </c>
      <c r="H527">
        <v>1.5084691485774274E-3</v>
      </c>
      <c r="I527">
        <v>1.208372266575937E-5</v>
      </c>
      <c r="J527">
        <v>0.8</v>
      </c>
      <c r="K527">
        <v>0.80820493063328003</v>
      </c>
      <c r="L527" s="1">
        <v>43556</v>
      </c>
      <c r="M527" s="1">
        <v>43165</v>
      </c>
      <c r="N527" s="1">
        <v>43164</v>
      </c>
      <c r="R527">
        <v>-1.6969714714083685E-3</v>
      </c>
      <c r="S527">
        <v>-1.6969714714083685E-3</v>
      </c>
      <c r="T527" t="s">
        <v>32</v>
      </c>
      <c r="U527" t="s">
        <v>32</v>
      </c>
      <c r="V527">
        <v>278393206</v>
      </c>
      <c r="W527" t="s">
        <v>443</v>
      </c>
      <c r="X527" t="s">
        <v>792</v>
      </c>
      <c r="Y527">
        <v>10000</v>
      </c>
      <c r="Z527" t="s">
        <v>31</v>
      </c>
      <c r="AA527">
        <v>5.0534825123473136E-3</v>
      </c>
      <c r="AB527">
        <v>101.7</v>
      </c>
      <c r="AC527" t="s">
        <v>138</v>
      </c>
      <c r="AD527" t="s">
        <v>138</v>
      </c>
      <c r="AE527" t="s">
        <v>41</v>
      </c>
      <c r="AF527">
        <v>8.0514849139223285E-2</v>
      </c>
      <c r="AG527">
        <v>1.58</v>
      </c>
      <c r="AH527" t="s">
        <v>244</v>
      </c>
      <c r="AI527" t="s">
        <v>244</v>
      </c>
      <c r="AJ527">
        <v>-7.1207576964925157E-3</v>
      </c>
      <c r="AK527">
        <v>1.8855864357217843E-3</v>
      </c>
      <c r="AL527">
        <v>9.0063441322142997E-3</v>
      </c>
      <c r="AM527" t="s">
        <v>41</v>
      </c>
      <c r="AN527" t="s">
        <v>142</v>
      </c>
      <c r="AO527" t="s">
        <v>138</v>
      </c>
      <c r="AP527" t="s">
        <v>31</v>
      </c>
      <c r="AQ527">
        <v>1.518177074111052E-4</v>
      </c>
    </row>
    <row r="528" spans="1:43" x14ac:dyDescent="0.2">
      <c r="A528">
        <v>526</v>
      </c>
      <c r="B528">
        <v>87</v>
      </c>
      <c r="C528">
        <v>7</v>
      </c>
      <c r="D528">
        <v>27500</v>
      </c>
      <c r="E528" t="s">
        <v>442</v>
      </c>
      <c r="F528" t="s">
        <v>49</v>
      </c>
      <c r="G528" t="s">
        <v>793</v>
      </c>
      <c r="H528">
        <v>7.6277700621377505E-3</v>
      </c>
      <c r="I528">
        <v>1.5821303764788986E-6</v>
      </c>
      <c r="J528">
        <v>1.49</v>
      </c>
      <c r="K528">
        <v>1.4992505147888999</v>
      </c>
      <c r="L528" s="1">
        <v>43814</v>
      </c>
      <c r="M528" s="1">
        <v>43165</v>
      </c>
      <c r="N528" s="1">
        <v>43164</v>
      </c>
      <c r="R528">
        <v>-1.6969714714083685E-3</v>
      </c>
      <c r="S528">
        <v>-1.6969714714083685E-3</v>
      </c>
      <c r="T528" t="s">
        <v>32</v>
      </c>
      <c r="U528" t="s">
        <v>32</v>
      </c>
      <c r="V528">
        <v>755828931</v>
      </c>
      <c r="W528" t="s">
        <v>443</v>
      </c>
      <c r="X528" t="s">
        <v>792</v>
      </c>
      <c r="Y528">
        <v>27500</v>
      </c>
      <c r="Z528" t="s">
        <v>31</v>
      </c>
      <c r="AA528">
        <v>6.6165604846634774E-4</v>
      </c>
      <c r="AB528">
        <v>101.32</v>
      </c>
      <c r="AC528" t="s">
        <v>138</v>
      </c>
      <c r="AD528" t="s">
        <v>138</v>
      </c>
      <c r="AE528" t="s">
        <v>41</v>
      </c>
      <c r="AF528">
        <v>8.5014849139223289E-2</v>
      </c>
      <c r="AG528">
        <v>1.98</v>
      </c>
      <c r="AH528" t="s">
        <v>244</v>
      </c>
      <c r="AI528" t="s">
        <v>244</v>
      </c>
      <c r="AJ528">
        <v>-9.3232585410869644E-4</v>
      </c>
      <c r="AK528">
        <v>5.1193087665354032E-3</v>
      </c>
      <c r="AL528">
        <v>6.0516346206440997E-3</v>
      </c>
      <c r="AM528" t="s">
        <v>41</v>
      </c>
      <c r="AN528" t="s">
        <v>142</v>
      </c>
      <c r="AO528" t="s">
        <v>138</v>
      </c>
      <c r="AP528" t="s">
        <v>31</v>
      </c>
      <c r="AQ528">
        <v>4.3521726248411057E-4</v>
      </c>
    </row>
    <row r="529" spans="1:43" x14ac:dyDescent="0.2">
      <c r="A529">
        <v>527</v>
      </c>
      <c r="B529">
        <v>88</v>
      </c>
      <c r="C529">
        <v>7</v>
      </c>
      <c r="D529">
        <v>60000</v>
      </c>
      <c r="E529" t="s">
        <v>442</v>
      </c>
      <c r="F529" t="s">
        <v>49</v>
      </c>
      <c r="G529" t="s">
        <v>794</v>
      </c>
      <c r="H529">
        <v>2.5952084333621825E-2</v>
      </c>
      <c r="I529">
        <v>-9.9274960321026369E-6</v>
      </c>
      <c r="J529">
        <v>2.35</v>
      </c>
      <c r="K529">
        <v>2.3505671615546002</v>
      </c>
      <c r="L529" s="1">
        <v>44044</v>
      </c>
      <c r="M529" s="1">
        <v>43165</v>
      </c>
      <c r="N529" s="1">
        <v>43164</v>
      </c>
      <c r="R529">
        <v>-1.9615943739185291E-3</v>
      </c>
      <c r="S529">
        <v>-1.9615943739185291E-3</v>
      </c>
      <c r="T529" t="s">
        <v>32</v>
      </c>
      <c r="U529" t="s">
        <v>32</v>
      </c>
      <c r="V529">
        <v>1630484102</v>
      </c>
      <c r="W529" t="s">
        <v>443</v>
      </c>
      <c r="X529" t="s">
        <v>792</v>
      </c>
      <c r="Y529">
        <v>60000</v>
      </c>
      <c r="Z529" t="s">
        <v>31</v>
      </c>
      <c r="AA529">
        <v>-4.1517360979978534E-3</v>
      </c>
      <c r="AB529">
        <v>100.6</v>
      </c>
      <c r="AC529" t="s">
        <v>138</v>
      </c>
      <c r="AD529" t="s">
        <v>138</v>
      </c>
      <c r="AE529" t="s">
        <v>41</v>
      </c>
      <c r="AF529">
        <v>8.7414849139223288E-2</v>
      </c>
      <c r="AG529">
        <v>2.21</v>
      </c>
      <c r="AH529" t="s">
        <v>244</v>
      </c>
      <c r="AI529" t="s">
        <v>244</v>
      </c>
      <c r="AJ529">
        <v>5.0609321499384338E-3</v>
      </c>
      <c r="AK529">
        <v>1.1043440141966733E-2</v>
      </c>
      <c r="AL529">
        <v>5.9825079920282995E-3</v>
      </c>
      <c r="AM529" t="s">
        <v>41</v>
      </c>
      <c r="AN529" t="s">
        <v>142</v>
      </c>
      <c r="AO529" t="s">
        <v>138</v>
      </c>
      <c r="AP529" t="s">
        <v>31</v>
      </c>
      <c r="AQ529">
        <v>9.6536065398806462E-4</v>
      </c>
    </row>
    <row r="530" spans="1:43" x14ac:dyDescent="0.2">
      <c r="A530">
        <v>528</v>
      </c>
      <c r="B530">
        <v>88</v>
      </c>
      <c r="C530">
        <v>7</v>
      </c>
      <c r="F530" t="s">
        <v>49</v>
      </c>
      <c r="G530" t="s">
        <v>795</v>
      </c>
      <c r="I530">
        <v>2.4549121639149215E-5</v>
      </c>
      <c r="J530">
        <v>2.3900253615336</v>
      </c>
      <c r="K530">
        <v>2.3900253615336</v>
      </c>
      <c r="L530" s="1"/>
      <c r="M530" s="1"/>
      <c r="N530" s="1">
        <v>43164</v>
      </c>
      <c r="R530">
        <v>-1.9615943739185291E-3</v>
      </c>
      <c r="S530">
        <v>-1.9615943739185291E-3</v>
      </c>
      <c r="T530" t="s">
        <v>32</v>
      </c>
      <c r="U530" t="s">
        <v>32</v>
      </c>
      <c r="W530" t="s">
        <v>443</v>
      </c>
      <c r="Z530" t="s">
        <v>31</v>
      </c>
      <c r="AA530">
        <v>1.0266584257884525E-2</v>
      </c>
      <c r="AC530" t="s">
        <v>138</v>
      </c>
      <c r="AD530" t="s">
        <v>138</v>
      </c>
      <c r="AE530" t="s">
        <v>41</v>
      </c>
      <c r="AF530">
        <v>2.2000000000000002</v>
      </c>
      <c r="AG530">
        <v>2.2000000000000002</v>
      </c>
      <c r="AH530" t="s">
        <v>244</v>
      </c>
      <c r="AI530" t="s">
        <v>244</v>
      </c>
      <c r="AJ530">
        <v>-1.2514881754126E-2</v>
      </c>
      <c r="AK530">
        <v>0</v>
      </c>
      <c r="AL530">
        <v>1.2514881754126E-2</v>
      </c>
      <c r="AM530" t="s">
        <v>41</v>
      </c>
      <c r="AN530" t="s">
        <v>138</v>
      </c>
      <c r="AO530" t="s">
        <v>138</v>
      </c>
      <c r="AP530" t="s">
        <v>31</v>
      </c>
    </row>
    <row r="531" spans="1:43" x14ac:dyDescent="0.2">
      <c r="A531">
        <v>529</v>
      </c>
      <c r="B531">
        <v>89</v>
      </c>
      <c r="C531">
        <v>7</v>
      </c>
      <c r="D531">
        <v>72000</v>
      </c>
      <c r="E531" t="s">
        <v>442</v>
      </c>
      <c r="F531" t="s">
        <v>49</v>
      </c>
      <c r="G531" t="s">
        <v>797</v>
      </c>
      <c r="H531">
        <v>4.3053748495172892E-2</v>
      </c>
      <c r="I531">
        <v>-1.955109544734949E-5</v>
      </c>
      <c r="J531">
        <v>3.17</v>
      </c>
      <c r="K531">
        <v>3.1776381962379001</v>
      </c>
      <c r="L531" s="1">
        <v>44382</v>
      </c>
      <c r="M531" s="1">
        <v>43165</v>
      </c>
      <c r="N531" s="1">
        <v>43164</v>
      </c>
      <c r="R531">
        <v>-4.4615847120025569E-3</v>
      </c>
      <c r="S531">
        <v>-4.4615847120025569E-3</v>
      </c>
      <c r="T531" t="s">
        <v>32</v>
      </c>
      <c r="U531" t="s">
        <v>32</v>
      </c>
      <c r="V531">
        <v>2005228619</v>
      </c>
      <c r="W531" t="s">
        <v>443</v>
      </c>
      <c r="X531" t="s">
        <v>792</v>
      </c>
      <c r="Y531">
        <v>72000</v>
      </c>
      <c r="Z531" t="s">
        <v>31</v>
      </c>
      <c r="AA531">
        <v>-8.1763808780863749E-3</v>
      </c>
      <c r="AB531">
        <v>102.79</v>
      </c>
      <c r="AC531" t="s">
        <v>138</v>
      </c>
      <c r="AD531" t="s">
        <v>138</v>
      </c>
      <c r="AE531" t="s">
        <v>41</v>
      </c>
      <c r="AF531">
        <v>8.8614849139223281E-2</v>
      </c>
      <c r="AG531">
        <v>2.34</v>
      </c>
      <c r="AH531" t="s">
        <v>244</v>
      </c>
      <c r="AI531" t="s">
        <v>244</v>
      </c>
      <c r="AJ531">
        <v>4.3820966560946667E-3</v>
      </c>
      <c r="AK531">
        <v>1.3581624130969366E-2</v>
      </c>
      <c r="AL531">
        <v>9.1995274748746993E-3</v>
      </c>
      <c r="AM531" t="s">
        <v>41</v>
      </c>
      <c r="AN531" t="s">
        <v>142</v>
      </c>
      <c r="AO531" t="s">
        <v>138</v>
      </c>
      <c r="AP531" t="s">
        <v>31</v>
      </c>
      <c r="AQ531">
        <v>1.2035335734314849E-3</v>
      </c>
    </row>
    <row r="532" spans="1:43" x14ac:dyDescent="0.2">
      <c r="A532">
        <v>530</v>
      </c>
      <c r="B532">
        <v>123</v>
      </c>
      <c r="C532">
        <v>7</v>
      </c>
      <c r="F532" t="s">
        <v>49</v>
      </c>
      <c r="G532" t="s">
        <v>1007</v>
      </c>
      <c r="I532">
        <v>3.788310850020318E-7</v>
      </c>
      <c r="J532">
        <v>1.1788579343737</v>
      </c>
      <c r="K532">
        <v>1.1788579343737</v>
      </c>
      <c r="L532" s="1"/>
      <c r="M532" s="1"/>
      <c r="N532" s="1">
        <v>43164</v>
      </c>
      <c r="R532">
        <v>-1.309528310656647E-3</v>
      </c>
      <c r="S532">
        <v>-1.309528310656647E-3</v>
      </c>
      <c r="T532" t="s">
        <v>32</v>
      </c>
      <c r="U532" t="s">
        <v>32</v>
      </c>
      <c r="AA532">
        <v>1.5842934467670688E-4</v>
      </c>
      <c r="AC532" t="s">
        <v>144</v>
      </c>
      <c r="AD532" t="s">
        <v>144</v>
      </c>
      <c r="AF532">
        <v>14.16</v>
      </c>
      <c r="AG532">
        <v>14.16</v>
      </c>
      <c r="AH532" t="s">
        <v>244</v>
      </c>
      <c r="AI532" t="s">
        <v>244</v>
      </c>
      <c r="AJ532">
        <v>-2.8928819783367003E-4</v>
      </c>
      <c r="AK532">
        <v>0</v>
      </c>
      <c r="AL532">
        <v>2.8928819783367003E-4</v>
      </c>
      <c r="AN532" t="s">
        <v>144</v>
      </c>
      <c r="AO532" t="s">
        <v>144</v>
      </c>
    </row>
    <row r="533" spans="1:43" x14ac:dyDescent="0.2">
      <c r="A533">
        <v>531</v>
      </c>
      <c r="B533">
        <v>137</v>
      </c>
      <c r="C533">
        <v>7</v>
      </c>
      <c r="D533">
        <v>96000</v>
      </c>
      <c r="E533" t="s">
        <v>216</v>
      </c>
      <c r="F533" t="s">
        <v>49</v>
      </c>
      <c r="G533" t="s">
        <v>218</v>
      </c>
      <c r="H533">
        <v>5.1995590953445525E-2</v>
      </c>
      <c r="I533">
        <v>-5.1862045665522598E-5</v>
      </c>
      <c r="J533">
        <v>2.93</v>
      </c>
      <c r="L533" s="1">
        <v>44256</v>
      </c>
      <c r="M533" s="1">
        <v>43165</v>
      </c>
      <c r="N533" s="1"/>
      <c r="R533">
        <v>-2.9224745985873203E-3</v>
      </c>
      <c r="T533" t="s">
        <v>32</v>
      </c>
      <c r="V533">
        <v>2620059085</v>
      </c>
      <c r="W533" t="s">
        <v>240</v>
      </c>
      <c r="X533" t="s">
        <v>217</v>
      </c>
      <c r="Y533">
        <v>96000</v>
      </c>
      <c r="Z533" t="s">
        <v>31</v>
      </c>
      <c r="AA533">
        <v>-2.168900661448657E-2</v>
      </c>
      <c r="AB533">
        <v>101.24</v>
      </c>
      <c r="AC533" t="s">
        <v>42</v>
      </c>
      <c r="AE533" t="s">
        <v>173</v>
      </c>
      <c r="AF533">
        <v>7.5814849139223289E-2</v>
      </c>
      <c r="AH533" t="s">
        <v>215</v>
      </c>
      <c r="AJ533">
        <v>1.7745935478991646E-2</v>
      </c>
      <c r="AK533">
        <v>1.7745935478991646E-2</v>
      </c>
      <c r="AL533">
        <v>0</v>
      </c>
      <c r="AN533" t="s">
        <v>138</v>
      </c>
      <c r="AQ533">
        <v>1.3454054211741418E-3</v>
      </c>
    </row>
    <row r="534" spans="1:43" x14ac:dyDescent="0.2">
      <c r="A534">
        <v>532</v>
      </c>
      <c r="B534">
        <v>140</v>
      </c>
      <c r="C534">
        <v>7</v>
      </c>
      <c r="D534">
        <v>38500</v>
      </c>
      <c r="E534" t="s">
        <v>216</v>
      </c>
      <c r="F534" t="s">
        <v>49</v>
      </c>
      <c r="G534" t="s">
        <v>219</v>
      </c>
      <c r="H534">
        <v>5.2076376861440551E-2</v>
      </c>
      <c r="I534">
        <v>-6.2821505776958854E-6</v>
      </c>
      <c r="J534">
        <v>7.55</v>
      </c>
      <c r="L534" s="1">
        <v>46082</v>
      </c>
      <c r="M534" s="1">
        <v>43165</v>
      </c>
      <c r="N534" s="1"/>
      <c r="R534">
        <v>-9.1078219569309547E-4</v>
      </c>
      <c r="T534" t="s">
        <v>32</v>
      </c>
      <c r="V534">
        <v>1018370937</v>
      </c>
      <c r="W534" t="s">
        <v>240</v>
      </c>
      <c r="X534" t="s">
        <v>217</v>
      </c>
      <c r="Y534">
        <v>38500</v>
      </c>
      <c r="Z534" t="s">
        <v>31</v>
      </c>
      <c r="AA534">
        <v>-2.6272316042370617E-3</v>
      </c>
      <c r="AB534">
        <v>98.12</v>
      </c>
      <c r="AC534" t="s">
        <v>42</v>
      </c>
      <c r="AE534" t="s">
        <v>173</v>
      </c>
      <c r="AF534">
        <v>8.261484913922329E-2</v>
      </c>
      <c r="AH534" t="s">
        <v>215</v>
      </c>
      <c r="AJ534">
        <v>6.8975333591311987E-3</v>
      </c>
      <c r="AK534">
        <v>6.8975333591311987E-3</v>
      </c>
      <c r="AL534">
        <v>0</v>
      </c>
      <c r="AN534" t="s">
        <v>138</v>
      </c>
      <c r="AQ534">
        <v>5.6983867789738409E-4</v>
      </c>
    </row>
    <row r="535" spans="1:43" x14ac:dyDescent="0.2">
      <c r="A535">
        <v>533</v>
      </c>
      <c r="B535">
        <v>88</v>
      </c>
      <c r="C535">
        <v>7</v>
      </c>
      <c r="D535">
        <v>168000</v>
      </c>
      <c r="E535" t="s">
        <v>844</v>
      </c>
      <c r="F535" t="s">
        <v>49</v>
      </c>
      <c r="G535" t="s">
        <v>845</v>
      </c>
      <c r="H535">
        <v>6.0891430127357885E-2</v>
      </c>
      <c r="I535">
        <v>2.0112475645734155E-6</v>
      </c>
      <c r="J535">
        <v>2.69</v>
      </c>
      <c r="K535">
        <v>2.6973932906189999</v>
      </c>
      <c r="L535" s="1">
        <v>44510</v>
      </c>
      <c r="M535" s="1">
        <v>43165</v>
      </c>
      <c r="N535" s="1">
        <v>43164</v>
      </c>
      <c r="R535">
        <v>-1.9615943739185291E-3</v>
      </c>
      <c r="S535">
        <v>-1.9615943739185291E-3</v>
      </c>
      <c r="T535" t="s">
        <v>32</v>
      </c>
      <c r="U535" t="s">
        <v>32</v>
      </c>
      <c r="V535">
        <v>3342074150</v>
      </c>
      <c r="W535" t="s">
        <v>846</v>
      </c>
      <c r="X535" t="s">
        <v>847</v>
      </c>
      <c r="Y535">
        <v>168000</v>
      </c>
      <c r="Z535" t="s">
        <v>31</v>
      </c>
      <c r="AA535">
        <v>8.4111533148416252E-4</v>
      </c>
      <c r="AB535">
        <v>108.46</v>
      </c>
      <c r="AC535" t="s">
        <v>146</v>
      </c>
      <c r="AD535" t="s">
        <v>146</v>
      </c>
      <c r="AE535" t="s">
        <v>848</v>
      </c>
      <c r="AF535">
        <v>9.231484913922329E-2</v>
      </c>
      <c r="AG535">
        <v>2.71</v>
      </c>
      <c r="AH535" t="s">
        <v>244</v>
      </c>
      <c r="AI535" t="s">
        <v>244</v>
      </c>
      <c r="AJ535">
        <v>-1.0253126697930409E-3</v>
      </c>
      <c r="AK535">
        <v>2.2636219378199957E-2</v>
      </c>
      <c r="AL535">
        <v>2.3661532047992997E-2</v>
      </c>
      <c r="AM535" t="s">
        <v>848</v>
      </c>
      <c r="AN535" t="s">
        <v>140</v>
      </c>
      <c r="AO535" t="s">
        <v>146</v>
      </c>
      <c r="AP535" t="s">
        <v>31</v>
      </c>
      <c r="AQ535">
        <v>2.089659176980892E-3</v>
      </c>
    </row>
    <row r="536" spans="1:43" x14ac:dyDescent="0.2">
      <c r="A536">
        <v>534</v>
      </c>
      <c r="B536">
        <v>89</v>
      </c>
      <c r="C536">
        <v>7</v>
      </c>
      <c r="F536" t="s">
        <v>49</v>
      </c>
      <c r="G536" t="s">
        <v>1042</v>
      </c>
      <c r="I536">
        <v>5.7267368661715182E-5</v>
      </c>
      <c r="J536">
        <v>4.8757390879626001</v>
      </c>
      <c r="K536">
        <v>4.8757390879626001</v>
      </c>
      <c r="L536" s="1"/>
      <c r="M536" s="1"/>
      <c r="N536" s="1">
        <v>43164</v>
      </c>
      <c r="R536">
        <v>-4.4615847120025569E-3</v>
      </c>
      <c r="S536">
        <v>-4.4615847120025569E-3</v>
      </c>
      <c r="T536" t="s">
        <v>32</v>
      </c>
      <c r="U536" t="s">
        <v>32</v>
      </c>
      <c r="W536" t="s">
        <v>846</v>
      </c>
      <c r="Z536" t="s">
        <v>31</v>
      </c>
      <c r="AA536">
        <v>2.3949543866988252E-2</v>
      </c>
      <c r="AC536" t="s">
        <v>146</v>
      </c>
      <c r="AD536" t="s">
        <v>146</v>
      </c>
      <c r="AE536" t="s">
        <v>848</v>
      </c>
      <c r="AF536">
        <v>2.72</v>
      </c>
      <c r="AG536">
        <v>2.72</v>
      </c>
      <c r="AH536" t="s">
        <v>244</v>
      </c>
      <c r="AI536" t="s">
        <v>244</v>
      </c>
      <c r="AJ536">
        <v>-1.2835656467007E-2</v>
      </c>
      <c r="AK536">
        <v>0</v>
      </c>
      <c r="AL536">
        <v>1.2835656467007E-2</v>
      </c>
      <c r="AM536" t="s">
        <v>848</v>
      </c>
      <c r="AN536" t="s">
        <v>146</v>
      </c>
      <c r="AO536" t="s">
        <v>146</v>
      </c>
      <c r="AP536" t="s">
        <v>31</v>
      </c>
    </row>
    <row r="537" spans="1:43" x14ac:dyDescent="0.2">
      <c r="A537">
        <v>535</v>
      </c>
      <c r="B537">
        <v>89</v>
      </c>
      <c r="C537">
        <v>7</v>
      </c>
      <c r="D537">
        <v>50000</v>
      </c>
      <c r="E537" t="s">
        <v>1037</v>
      </c>
      <c r="F537" t="s">
        <v>49</v>
      </c>
      <c r="G537" t="s">
        <v>1038</v>
      </c>
      <c r="H537">
        <v>4.2941799643917644E-2</v>
      </c>
      <c r="I537">
        <v>1.435674428424578E-5</v>
      </c>
      <c r="J537">
        <v>4.5199999999999996</v>
      </c>
      <c r="K537">
        <v>4.5302852906683002</v>
      </c>
      <c r="L537" s="1">
        <v>44931</v>
      </c>
      <c r="M537" s="1">
        <v>43165</v>
      </c>
      <c r="N537" s="1">
        <v>43164</v>
      </c>
      <c r="R537">
        <v>-4.4615847120025569E-3</v>
      </c>
      <c r="S537">
        <v>-4.4615847120025569E-3</v>
      </c>
      <c r="T537" t="s">
        <v>32</v>
      </c>
      <c r="U537" t="s">
        <v>32</v>
      </c>
      <c r="V537">
        <v>1402665107</v>
      </c>
      <c r="W537" t="s">
        <v>1039</v>
      </c>
      <c r="X537" t="s">
        <v>1040</v>
      </c>
      <c r="Y537">
        <v>50000</v>
      </c>
      <c r="Z537" t="s">
        <v>31</v>
      </c>
      <c r="AA537">
        <v>6.0040732629739633E-3</v>
      </c>
      <c r="AB537">
        <v>103.58</v>
      </c>
      <c r="AC537" t="s">
        <v>51</v>
      </c>
      <c r="AD537" t="s">
        <v>51</v>
      </c>
      <c r="AE537" t="s">
        <v>167</v>
      </c>
      <c r="AF537">
        <v>8.7014849139223277E-2</v>
      </c>
      <c r="AG537">
        <v>2.19</v>
      </c>
      <c r="AH537" t="s">
        <v>244</v>
      </c>
      <c r="AI537" t="s">
        <v>244</v>
      </c>
      <c r="AJ537">
        <v>-3.2178576023947861E-3</v>
      </c>
      <c r="AK537">
        <v>9.5003981513092136E-3</v>
      </c>
      <c r="AL537">
        <v>1.2718255753704E-2</v>
      </c>
      <c r="AM537" t="s">
        <v>167</v>
      </c>
      <c r="AN537" t="s">
        <v>145</v>
      </c>
      <c r="AO537" t="s">
        <v>51</v>
      </c>
      <c r="AP537" t="s">
        <v>31</v>
      </c>
      <c r="AQ537">
        <v>8.2667571189872695E-4</v>
      </c>
    </row>
    <row r="538" spans="1:43" x14ac:dyDescent="0.2">
      <c r="A538">
        <v>536</v>
      </c>
      <c r="B538">
        <v>91</v>
      </c>
      <c r="C538">
        <v>7</v>
      </c>
      <c r="D538">
        <v>30000</v>
      </c>
      <c r="E538" t="s">
        <v>1037</v>
      </c>
      <c r="F538" t="s">
        <v>49</v>
      </c>
      <c r="G538" t="s">
        <v>1041</v>
      </c>
      <c r="H538">
        <v>6.8864188343371269E-2</v>
      </c>
      <c r="I538">
        <v>3.6926250062466155E-5</v>
      </c>
      <c r="J538">
        <v>12.09</v>
      </c>
      <c r="K538">
        <v>12.095388918262</v>
      </c>
      <c r="L538" s="1">
        <v>50775</v>
      </c>
      <c r="M538" s="1">
        <v>43165</v>
      </c>
      <c r="N538" s="1">
        <v>43164</v>
      </c>
      <c r="R538">
        <v>-5.2688367511407258E-3</v>
      </c>
      <c r="S538">
        <v>-5.2688367511407258E-3</v>
      </c>
      <c r="T538" t="s">
        <v>32</v>
      </c>
      <c r="U538" t="s">
        <v>32</v>
      </c>
      <c r="V538">
        <v>840967707</v>
      </c>
      <c r="W538" t="s">
        <v>1039</v>
      </c>
      <c r="X538" t="s">
        <v>1040</v>
      </c>
      <c r="Y538">
        <v>30000</v>
      </c>
      <c r="Z538" t="s">
        <v>31</v>
      </c>
      <c r="AA538">
        <v>1.5442770750276056E-2</v>
      </c>
      <c r="AB538">
        <v>103.41</v>
      </c>
      <c r="AC538" t="s">
        <v>51</v>
      </c>
      <c r="AD538" t="s">
        <v>51</v>
      </c>
      <c r="AE538" t="s">
        <v>167</v>
      </c>
      <c r="AF538">
        <v>9.7114849139223275E-2</v>
      </c>
      <c r="AG538">
        <v>3.2</v>
      </c>
      <c r="AH538" t="s">
        <v>244</v>
      </c>
      <c r="AI538" t="s">
        <v>244</v>
      </c>
      <c r="AJ538">
        <v>-7.0084255418373818E-3</v>
      </c>
      <c r="AK538">
        <v>5.6959626421316184E-3</v>
      </c>
      <c r="AL538">
        <v>1.2704388183969E-2</v>
      </c>
      <c r="AM538" t="s">
        <v>167</v>
      </c>
      <c r="AN538" t="s">
        <v>145</v>
      </c>
      <c r="AO538" t="s">
        <v>51</v>
      </c>
      <c r="AP538" t="s">
        <v>31</v>
      </c>
      <c r="AQ538">
        <v>5.5316255269326371E-4</v>
      </c>
    </row>
    <row r="539" spans="1:43" x14ac:dyDescent="0.2">
      <c r="A539">
        <v>537</v>
      </c>
      <c r="B539">
        <v>91</v>
      </c>
      <c r="C539">
        <v>7</v>
      </c>
      <c r="F539" t="s">
        <v>49</v>
      </c>
      <c r="G539" t="s">
        <v>1008</v>
      </c>
      <c r="I539">
        <v>7.4296387339511263E-5</v>
      </c>
      <c r="J539">
        <v>7.0913286489710998</v>
      </c>
      <c r="K539">
        <v>7.0913286489710998</v>
      </c>
      <c r="L539" s="1"/>
      <c r="M539" s="1"/>
      <c r="N539" s="1">
        <v>43164</v>
      </c>
      <c r="R539">
        <v>-5.2688367511407258E-3</v>
      </c>
      <c r="S539">
        <v>-5.2688367511407258E-3</v>
      </c>
      <c r="T539" t="s">
        <v>32</v>
      </c>
      <c r="U539" t="s">
        <v>32</v>
      </c>
      <c r="W539" t="s">
        <v>921</v>
      </c>
      <c r="Z539" t="s">
        <v>31</v>
      </c>
      <c r="AA539">
        <v>3.1071177693832649E-2</v>
      </c>
      <c r="AC539" t="s">
        <v>51</v>
      </c>
      <c r="AD539" t="s">
        <v>51</v>
      </c>
      <c r="AE539" t="s">
        <v>35</v>
      </c>
      <c r="AF539">
        <v>2.33</v>
      </c>
      <c r="AG539">
        <v>2.33</v>
      </c>
      <c r="AH539" t="s">
        <v>244</v>
      </c>
      <c r="AI539" t="s">
        <v>244</v>
      </c>
      <c r="AJ539">
        <v>-1.4101098752665998E-2</v>
      </c>
      <c r="AK539">
        <v>0</v>
      </c>
      <c r="AL539">
        <v>1.4101098752665998E-2</v>
      </c>
      <c r="AM539" t="s">
        <v>35</v>
      </c>
      <c r="AN539" t="s">
        <v>51</v>
      </c>
      <c r="AO539" t="s">
        <v>51</v>
      </c>
      <c r="AP539" t="s">
        <v>31</v>
      </c>
    </row>
    <row r="540" spans="1:43" x14ac:dyDescent="0.2">
      <c r="A540">
        <v>538</v>
      </c>
      <c r="B540">
        <v>91</v>
      </c>
      <c r="C540">
        <v>7</v>
      </c>
      <c r="D540">
        <v>76500</v>
      </c>
      <c r="E540" t="s">
        <v>919</v>
      </c>
      <c r="F540" t="s">
        <v>49</v>
      </c>
      <c r="G540" t="s">
        <v>920</v>
      </c>
      <c r="H540">
        <v>0.18769958693329747</v>
      </c>
      <c r="I540">
        <v>-8.7209742663852844E-5</v>
      </c>
      <c r="J540">
        <v>11.34</v>
      </c>
      <c r="L540" s="1">
        <v>48533</v>
      </c>
      <c r="M540" s="1">
        <v>43165</v>
      </c>
      <c r="N540" s="1"/>
      <c r="R540">
        <v>-5.2688367511407258E-3</v>
      </c>
      <c r="T540" t="s">
        <v>32</v>
      </c>
      <c r="V540">
        <v>2443781931</v>
      </c>
      <c r="W540" t="s">
        <v>921</v>
      </c>
      <c r="X540" t="s">
        <v>922</v>
      </c>
      <c r="Y540">
        <v>76500</v>
      </c>
      <c r="Z540" t="s">
        <v>31</v>
      </c>
      <c r="AA540">
        <v>-3.6471617368950458E-2</v>
      </c>
      <c r="AB540">
        <v>117.05</v>
      </c>
      <c r="AC540" t="s">
        <v>51</v>
      </c>
      <c r="AE540" t="s">
        <v>35</v>
      </c>
      <c r="AF540">
        <v>9.2414849139223293E-2</v>
      </c>
      <c r="AH540" t="s">
        <v>244</v>
      </c>
      <c r="AJ540">
        <v>1.6551991793059741E-2</v>
      </c>
      <c r="AK540">
        <v>1.6551991793059741E-2</v>
      </c>
      <c r="AL540">
        <v>0</v>
      </c>
      <c r="AN540" t="s">
        <v>145</v>
      </c>
      <c r="AQ540">
        <v>1.529649824509278E-3</v>
      </c>
    </row>
    <row r="541" spans="1:43" x14ac:dyDescent="0.2">
      <c r="A541">
        <v>539</v>
      </c>
      <c r="B541">
        <v>0</v>
      </c>
      <c r="C541">
        <v>7</v>
      </c>
      <c r="D541">
        <v>996356</v>
      </c>
      <c r="E541" t="s">
        <v>823</v>
      </c>
      <c r="F541" t="s">
        <v>49</v>
      </c>
      <c r="G541" t="s">
        <v>824</v>
      </c>
      <c r="H541">
        <v>0</v>
      </c>
      <c r="I541">
        <v>0</v>
      </c>
      <c r="J541">
        <v>0</v>
      </c>
      <c r="L541" s="1">
        <v>44485</v>
      </c>
      <c r="M541" s="1">
        <v>43165</v>
      </c>
      <c r="N541" s="1"/>
      <c r="R541">
        <v>0</v>
      </c>
      <c r="T541" t="s">
        <v>39</v>
      </c>
      <c r="V541">
        <v>1007747637</v>
      </c>
      <c r="W541" t="s">
        <v>825</v>
      </c>
      <c r="X541" t="s">
        <v>826</v>
      </c>
      <c r="Y541">
        <v>996356</v>
      </c>
      <c r="Z541" t="s">
        <v>31</v>
      </c>
      <c r="AA541">
        <v>0</v>
      </c>
      <c r="AB541">
        <v>1011.4333</v>
      </c>
      <c r="AC541" t="s">
        <v>140</v>
      </c>
      <c r="AE541" t="s">
        <v>41</v>
      </c>
      <c r="AF541">
        <v>0</v>
      </c>
      <c r="AH541" t="s">
        <v>446</v>
      </c>
      <c r="AJ541">
        <v>6.8255806320139884E-3</v>
      </c>
      <c r="AK541">
        <v>6.8255806320139884E-3</v>
      </c>
      <c r="AL541">
        <v>0</v>
      </c>
      <c r="AN541" t="s">
        <v>155</v>
      </c>
      <c r="AQ541">
        <v>0</v>
      </c>
    </row>
    <row r="542" spans="1:43" x14ac:dyDescent="0.2">
      <c r="A542">
        <v>540</v>
      </c>
      <c r="B542">
        <v>0</v>
      </c>
      <c r="C542">
        <v>7</v>
      </c>
      <c r="D542">
        <v>480000000</v>
      </c>
      <c r="E542" t="s">
        <v>827</v>
      </c>
      <c r="F542" t="s">
        <v>49</v>
      </c>
      <c r="G542" t="s">
        <v>828</v>
      </c>
      <c r="H542">
        <v>0</v>
      </c>
      <c r="I542">
        <v>0</v>
      </c>
      <c r="J542">
        <v>0</v>
      </c>
      <c r="L542" s="1">
        <v>2</v>
      </c>
      <c r="M542" s="1">
        <v>43165</v>
      </c>
      <c r="N542" s="1"/>
      <c r="R542">
        <v>0</v>
      </c>
      <c r="T542" t="s">
        <v>39</v>
      </c>
      <c r="V542">
        <v>482496000</v>
      </c>
      <c r="W542" t="s">
        <v>829</v>
      </c>
      <c r="X542" t="s">
        <v>830</v>
      </c>
      <c r="Y542">
        <v>480000000</v>
      </c>
      <c r="Z542" t="s">
        <v>31</v>
      </c>
      <c r="AA542">
        <v>0</v>
      </c>
      <c r="AB542">
        <v>1.0052000000000001</v>
      </c>
      <c r="AC542" t="s">
        <v>831</v>
      </c>
      <c r="AE542" t="s">
        <v>41</v>
      </c>
      <c r="AF542">
        <v>0</v>
      </c>
      <c r="AH542" t="s">
        <v>446</v>
      </c>
      <c r="AJ542">
        <v>3.267996105084612E-3</v>
      </c>
      <c r="AK542">
        <v>3.267996105084612E-3</v>
      </c>
      <c r="AL542">
        <v>0</v>
      </c>
      <c r="AN542" t="s">
        <v>445</v>
      </c>
      <c r="AQ542">
        <v>0</v>
      </c>
    </row>
    <row r="543" spans="1:43" x14ac:dyDescent="0.2">
      <c r="A543">
        <v>541</v>
      </c>
      <c r="B543">
        <v>66</v>
      </c>
      <c r="C543">
        <v>7</v>
      </c>
      <c r="D543">
        <v>1207000</v>
      </c>
      <c r="E543" t="s">
        <v>946</v>
      </c>
      <c r="F543" t="s">
        <v>49</v>
      </c>
      <c r="G543" t="s">
        <v>950</v>
      </c>
      <c r="H543">
        <v>1.9134070450550284E-2</v>
      </c>
      <c r="I543">
        <v>1.4708040675651067E-4</v>
      </c>
      <c r="J543">
        <v>3.44</v>
      </c>
      <c r="L543" s="1">
        <v>44697</v>
      </c>
      <c r="M543" s="1">
        <v>43165</v>
      </c>
      <c r="N543" s="1"/>
      <c r="R543">
        <v>2.6442705986161229E-2</v>
      </c>
      <c r="T543" t="s">
        <v>30</v>
      </c>
      <c r="V543">
        <v>821223017</v>
      </c>
      <c r="W543" t="s">
        <v>947</v>
      </c>
      <c r="X543" t="s">
        <v>948</v>
      </c>
      <c r="Y543">
        <v>1207000</v>
      </c>
      <c r="Z543" t="s">
        <v>31</v>
      </c>
      <c r="AA543">
        <v>6.1509874399806708E-2</v>
      </c>
      <c r="AB543">
        <v>110.96339999999999</v>
      </c>
      <c r="AC543" t="s">
        <v>142</v>
      </c>
      <c r="AE543" t="s">
        <v>157</v>
      </c>
      <c r="AF543">
        <v>0</v>
      </c>
      <c r="AH543" t="s">
        <v>244</v>
      </c>
      <c r="AJ543">
        <v>5.5622297821367106E-3</v>
      </c>
      <c r="AK543">
        <v>5.5622297821367106E-3</v>
      </c>
      <c r="AL543">
        <v>0</v>
      </c>
      <c r="AN543" t="s">
        <v>150</v>
      </c>
      <c r="AQ543">
        <v>0</v>
      </c>
    </row>
    <row r="544" spans="1:43" x14ac:dyDescent="0.2">
      <c r="A544">
        <v>542</v>
      </c>
      <c r="B544">
        <v>66</v>
      </c>
      <c r="C544">
        <v>7</v>
      </c>
      <c r="D544">
        <v>800000</v>
      </c>
      <c r="E544" t="s">
        <v>271</v>
      </c>
      <c r="F544" t="s">
        <v>49</v>
      </c>
      <c r="G544" t="s">
        <v>454</v>
      </c>
      <c r="H544">
        <v>1.9127803111114498E-2</v>
      </c>
      <c r="I544">
        <v>8.9047689054292387E-5</v>
      </c>
      <c r="J544">
        <v>5.68</v>
      </c>
      <c r="L544" s="1">
        <v>45595</v>
      </c>
      <c r="M544" s="1">
        <v>43165</v>
      </c>
      <c r="N544" s="1"/>
      <c r="R544">
        <v>2.6442705986161229E-2</v>
      </c>
      <c r="T544" t="s">
        <v>30</v>
      </c>
      <c r="V544">
        <v>497197509</v>
      </c>
      <c r="W544" t="s">
        <v>271</v>
      </c>
      <c r="X544" t="s">
        <v>453</v>
      </c>
      <c r="Y544">
        <v>800000</v>
      </c>
      <c r="Z544" t="s">
        <v>31</v>
      </c>
      <c r="AA544">
        <v>3.72402571498879E-2</v>
      </c>
      <c r="AB544">
        <v>102.584</v>
      </c>
      <c r="AC544" t="s">
        <v>138</v>
      </c>
      <c r="AE544" t="s">
        <v>54</v>
      </c>
      <c r="AF544">
        <v>0</v>
      </c>
      <c r="AH544" t="s">
        <v>244</v>
      </c>
      <c r="AJ544">
        <v>3.3675709702666373E-3</v>
      </c>
      <c r="AK544">
        <v>3.3675709702666373E-3</v>
      </c>
      <c r="AL544">
        <v>0</v>
      </c>
      <c r="AN544" t="s">
        <v>142</v>
      </c>
      <c r="AQ544">
        <v>0</v>
      </c>
    </row>
    <row r="545" spans="1:43" x14ac:dyDescent="0.2">
      <c r="A545">
        <v>543</v>
      </c>
      <c r="B545">
        <v>0</v>
      </c>
      <c r="C545">
        <v>7</v>
      </c>
      <c r="D545">
        <v>0</v>
      </c>
      <c r="E545" t="s">
        <v>194</v>
      </c>
      <c r="F545" t="s">
        <v>49</v>
      </c>
      <c r="G545" t="s">
        <v>1009</v>
      </c>
      <c r="H545">
        <v>0</v>
      </c>
      <c r="I545">
        <v>0</v>
      </c>
      <c r="J545">
        <v>0</v>
      </c>
      <c r="L545" s="1">
        <v>43201</v>
      </c>
      <c r="M545" s="1">
        <v>43165</v>
      </c>
      <c r="N545" s="1"/>
      <c r="R545">
        <v>0</v>
      </c>
      <c r="T545" t="s">
        <v>39</v>
      </c>
      <c r="V545">
        <v>1329700000</v>
      </c>
      <c r="W545" t="s">
        <v>172</v>
      </c>
      <c r="X545" t="s">
        <v>213</v>
      </c>
      <c r="Y545">
        <v>0</v>
      </c>
      <c r="Z545" t="s">
        <v>46</v>
      </c>
      <c r="AA545">
        <v>0</v>
      </c>
      <c r="AB545">
        <v>0</v>
      </c>
      <c r="AC545" t="s">
        <v>46</v>
      </c>
      <c r="AE545" t="s">
        <v>104</v>
      </c>
      <c r="AF545">
        <v>0</v>
      </c>
      <c r="AH545" t="s">
        <v>193</v>
      </c>
      <c r="AJ545">
        <v>9.0061978149684318E-3</v>
      </c>
      <c r="AK545">
        <v>9.0061978149684318E-3</v>
      </c>
      <c r="AL545">
        <v>0</v>
      </c>
      <c r="AN545" t="s">
        <v>46</v>
      </c>
      <c r="AQ545">
        <v>0</v>
      </c>
    </row>
    <row r="546" spans="1:43" x14ac:dyDescent="0.2">
      <c r="A546">
        <v>544</v>
      </c>
      <c r="B546">
        <v>66</v>
      </c>
      <c r="C546">
        <v>7</v>
      </c>
      <c r="D546">
        <v>0</v>
      </c>
      <c r="E546" t="s">
        <v>194</v>
      </c>
      <c r="F546" t="s">
        <v>49</v>
      </c>
      <c r="G546" t="s">
        <v>1009</v>
      </c>
      <c r="H546">
        <v>0</v>
      </c>
      <c r="I546">
        <v>-2.1510175246671688E-4</v>
      </c>
      <c r="J546">
        <v>0</v>
      </c>
      <c r="L546" s="1">
        <v>43201</v>
      </c>
      <c r="M546" s="1">
        <v>43165</v>
      </c>
      <c r="N546" s="1"/>
      <c r="R546">
        <v>2.6442705986161229E-2</v>
      </c>
      <c r="T546" t="s">
        <v>30</v>
      </c>
      <c r="V546">
        <v>-1201020000</v>
      </c>
      <c r="W546" t="s">
        <v>172</v>
      </c>
      <c r="X546" t="s">
        <v>214</v>
      </c>
      <c r="Y546">
        <v>0</v>
      </c>
      <c r="Z546" t="s">
        <v>46</v>
      </c>
      <c r="AA546">
        <v>-8.995679349262059E-2</v>
      </c>
      <c r="AB546">
        <v>0</v>
      </c>
      <c r="AC546" t="s">
        <v>46</v>
      </c>
      <c r="AE546" t="s">
        <v>104</v>
      </c>
      <c r="AF546">
        <v>0</v>
      </c>
      <c r="AH546" t="s">
        <v>193</v>
      </c>
      <c r="AJ546">
        <v>-8.1346346542328241E-3</v>
      </c>
      <c r="AK546">
        <v>-8.1346346542328241E-3</v>
      </c>
      <c r="AL546">
        <v>0</v>
      </c>
      <c r="AN546" t="s">
        <v>46</v>
      </c>
      <c r="AQ546">
        <v>0</v>
      </c>
    </row>
    <row r="547" spans="1:43" x14ac:dyDescent="0.2">
      <c r="A547">
        <v>545</v>
      </c>
      <c r="B547">
        <v>0</v>
      </c>
      <c r="C547">
        <v>7</v>
      </c>
      <c r="D547">
        <v>0</v>
      </c>
      <c r="E547" t="s">
        <v>194</v>
      </c>
      <c r="F547" t="s">
        <v>49</v>
      </c>
      <c r="G547" t="s">
        <v>1010</v>
      </c>
      <c r="H547">
        <v>0</v>
      </c>
      <c r="I547">
        <v>0</v>
      </c>
      <c r="J547">
        <v>0</v>
      </c>
      <c r="L547" s="1">
        <v>43217</v>
      </c>
      <c r="M547" s="1">
        <v>43165</v>
      </c>
      <c r="N547" s="1"/>
      <c r="R547">
        <v>0</v>
      </c>
      <c r="T547" t="s">
        <v>39</v>
      </c>
      <c r="V547">
        <v>337300000</v>
      </c>
      <c r="W547" t="s">
        <v>172</v>
      </c>
      <c r="X547" t="s">
        <v>213</v>
      </c>
      <c r="Y547">
        <v>0</v>
      </c>
      <c r="Z547" t="s">
        <v>46</v>
      </c>
      <c r="AA547">
        <v>0</v>
      </c>
      <c r="AB547">
        <v>0</v>
      </c>
      <c r="AC547" t="s">
        <v>46</v>
      </c>
      <c r="AE547" t="s">
        <v>104</v>
      </c>
      <c r="AF547">
        <v>0</v>
      </c>
      <c r="AH547" t="s">
        <v>193</v>
      </c>
      <c r="AJ547">
        <v>2.2845683409707844E-3</v>
      </c>
      <c r="AK547">
        <v>2.2845683409707844E-3</v>
      </c>
      <c r="AL547">
        <v>0</v>
      </c>
      <c r="AN547" t="s">
        <v>46</v>
      </c>
      <c r="AQ547">
        <v>0</v>
      </c>
    </row>
    <row r="548" spans="1:43" x14ac:dyDescent="0.2">
      <c r="A548">
        <v>546</v>
      </c>
      <c r="B548">
        <v>0</v>
      </c>
      <c r="C548">
        <v>7</v>
      </c>
      <c r="D548">
        <v>0</v>
      </c>
      <c r="E548" t="s">
        <v>194</v>
      </c>
      <c r="F548" t="s">
        <v>49</v>
      </c>
      <c r="G548" t="s">
        <v>1010</v>
      </c>
      <c r="H548">
        <v>0</v>
      </c>
      <c r="I548">
        <v>0</v>
      </c>
      <c r="J548">
        <v>0</v>
      </c>
      <c r="L548" s="1">
        <v>43217</v>
      </c>
      <c r="M548" s="1">
        <v>43165</v>
      </c>
      <c r="N548" s="1"/>
      <c r="R548">
        <v>0</v>
      </c>
      <c r="T548" t="s">
        <v>39</v>
      </c>
      <c r="V548">
        <v>678680000</v>
      </c>
      <c r="W548" t="s">
        <v>172</v>
      </c>
      <c r="X548" t="s">
        <v>213</v>
      </c>
      <c r="Y548">
        <v>0</v>
      </c>
      <c r="Z548" t="s">
        <v>46</v>
      </c>
      <c r="AA548">
        <v>0</v>
      </c>
      <c r="AB548">
        <v>0</v>
      </c>
      <c r="AC548" t="s">
        <v>46</v>
      </c>
      <c r="AE548" t="s">
        <v>104</v>
      </c>
      <c r="AF548">
        <v>0</v>
      </c>
      <c r="AH548" t="s">
        <v>193</v>
      </c>
      <c r="AJ548">
        <v>4.5967709506375687E-3</v>
      </c>
      <c r="AK548">
        <v>4.5967709506375687E-3</v>
      </c>
      <c r="AL548">
        <v>0</v>
      </c>
      <c r="AN548" t="s">
        <v>46</v>
      </c>
      <c r="AQ548">
        <v>0</v>
      </c>
    </row>
    <row r="549" spans="1:43" x14ac:dyDescent="0.2">
      <c r="A549">
        <v>547</v>
      </c>
      <c r="B549">
        <v>66</v>
      </c>
      <c r="C549">
        <v>7</v>
      </c>
      <c r="D549">
        <v>0</v>
      </c>
      <c r="E549" t="s">
        <v>194</v>
      </c>
      <c r="F549" t="s">
        <v>49</v>
      </c>
      <c r="G549" t="s">
        <v>1010</v>
      </c>
      <c r="H549">
        <v>0</v>
      </c>
      <c r="I549">
        <v>-5.377543811667922E-5</v>
      </c>
      <c r="J549">
        <v>0</v>
      </c>
      <c r="L549" s="1">
        <v>43217</v>
      </c>
      <c r="M549" s="1">
        <v>43165</v>
      </c>
      <c r="N549" s="1"/>
      <c r="R549">
        <v>2.6442705986161229E-2</v>
      </c>
      <c r="T549" t="s">
        <v>30</v>
      </c>
      <c r="V549">
        <v>-300255000</v>
      </c>
      <c r="W549" t="s">
        <v>172</v>
      </c>
      <c r="X549" t="s">
        <v>214</v>
      </c>
      <c r="Y549">
        <v>0</v>
      </c>
      <c r="Z549" t="s">
        <v>46</v>
      </c>
      <c r="AA549">
        <v>-2.2489198373155148E-2</v>
      </c>
      <c r="AB549">
        <v>0</v>
      </c>
      <c r="AC549" t="s">
        <v>46</v>
      </c>
      <c r="AE549" t="s">
        <v>104</v>
      </c>
      <c r="AF549">
        <v>0</v>
      </c>
      <c r="AH549" t="s">
        <v>193</v>
      </c>
      <c r="AJ549">
        <v>-2.033658663558206E-3</v>
      </c>
      <c r="AK549">
        <v>-2.033658663558206E-3</v>
      </c>
      <c r="AL549">
        <v>0</v>
      </c>
      <c r="AN549" t="s">
        <v>46</v>
      </c>
      <c r="AQ549">
        <v>0</v>
      </c>
    </row>
    <row r="550" spans="1:43" x14ac:dyDescent="0.2">
      <c r="A550">
        <v>548</v>
      </c>
      <c r="B550">
        <v>66</v>
      </c>
      <c r="C550">
        <v>7</v>
      </c>
      <c r="D550">
        <v>0</v>
      </c>
      <c r="E550" t="s">
        <v>194</v>
      </c>
      <c r="F550" t="s">
        <v>49</v>
      </c>
      <c r="G550" t="s">
        <v>1010</v>
      </c>
      <c r="H550">
        <v>0</v>
      </c>
      <c r="I550">
        <v>-1.0755087623335844E-4</v>
      </c>
      <c r="J550">
        <v>0</v>
      </c>
      <c r="L550" s="1">
        <v>43217</v>
      </c>
      <c r="M550" s="1">
        <v>43165</v>
      </c>
      <c r="N550" s="1"/>
      <c r="R550">
        <v>2.6442705986161229E-2</v>
      </c>
      <c r="T550" t="s">
        <v>30</v>
      </c>
      <c r="V550">
        <v>-600510000</v>
      </c>
      <c r="W550" t="s">
        <v>172</v>
      </c>
      <c r="X550" t="s">
        <v>214</v>
      </c>
      <c r="Y550">
        <v>0</v>
      </c>
      <c r="Z550" t="s">
        <v>46</v>
      </c>
      <c r="AA550">
        <v>-4.4978396746310295E-2</v>
      </c>
      <c r="AB550">
        <v>0</v>
      </c>
      <c r="AC550" t="s">
        <v>46</v>
      </c>
      <c r="AE550" t="s">
        <v>104</v>
      </c>
      <c r="AF550">
        <v>0</v>
      </c>
      <c r="AH550" t="s">
        <v>193</v>
      </c>
      <c r="AJ550">
        <v>-4.0673173271164121E-3</v>
      </c>
      <c r="AK550">
        <v>-4.0673173271164121E-3</v>
      </c>
      <c r="AL550">
        <v>0</v>
      </c>
      <c r="AN550" t="s">
        <v>46</v>
      </c>
      <c r="AQ550">
        <v>0</v>
      </c>
    </row>
    <row r="551" spans="1:43" x14ac:dyDescent="0.2">
      <c r="A551">
        <v>549</v>
      </c>
      <c r="B551">
        <v>0</v>
      </c>
      <c r="C551">
        <v>7</v>
      </c>
      <c r="D551">
        <v>0</v>
      </c>
      <c r="E551" t="s">
        <v>195</v>
      </c>
      <c r="F551" t="s">
        <v>49</v>
      </c>
      <c r="G551" t="s">
        <v>1011</v>
      </c>
      <c r="H551">
        <v>0</v>
      </c>
      <c r="I551">
        <v>0</v>
      </c>
      <c r="J551">
        <v>0</v>
      </c>
      <c r="L551" s="1">
        <v>43264</v>
      </c>
      <c r="M551" s="1">
        <v>43165</v>
      </c>
      <c r="N551" s="1"/>
      <c r="R551">
        <v>0</v>
      </c>
      <c r="T551" t="s">
        <v>39</v>
      </c>
      <c r="V551">
        <v>1208249984</v>
      </c>
      <c r="W551" t="s">
        <v>191</v>
      </c>
      <c r="X551" t="s">
        <v>192</v>
      </c>
      <c r="Y551">
        <v>0</v>
      </c>
      <c r="Z551" t="s">
        <v>46</v>
      </c>
      <c r="AA551">
        <v>0</v>
      </c>
      <c r="AB551">
        <v>0</v>
      </c>
      <c r="AC551" t="s">
        <v>46</v>
      </c>
      <c r="AE551" t="s">
        <v>104</v>
      </c>
      <c r="AF551">
        <v>0</v>
      </c>
      <c r="AH551" t="s">
        <v>193</v>
      </c>
      <c r="AJ551">
        <v>8.1836040955376721E-3</v>
      </c>
      <c r="AK551">
        <v>8.1836040955376721E-3</v>
      </c>
      <c r="AL551">
        <v>0</v>
      </c>
      <c r="AN551" t="s">
        <v>46</v>
      </c>
      <c r="AQ551">
        <v>0</v>
      </c>
    </row>
    <row r="552" spans="1:43" x14ac:dyDescent="0.2">
      <c r="A552">
        <v>550</v>
      </c>
      <c r="B552">
        <v>66</v>
      </c>
      <c r="C552">
        <v>7</v>
      </c>
      <c r="D552">
        <v>0</v>
      </c>
      <c r="E552" t="s">
        <v>195</v>
      </c>
      <c r="F552" t="s">
        <v>49</v>
      </c>
      <c r="G552" t="s">
        <v>1011</v>
      </c>
      <c r="H552">
        <v>0</v>
      </c>
      <c r="I552">
        <v>-1.9359157722004521E-4</v>
      </c>
      <c r="J552">
        <v>0</v>
      </c>
      <c r="L552" s="1">
        <v>43264</v>
      </c>
      <c r="M552" s="1">
        <v>43165</v>
      </c>
      <c r="N552" s="1"/>
      <c r="R552">
        <v>2.6442705986161229E-2</v>
      </c>
      <c r="T552" t="s">
        <v>30</v>
      </c>
      <c r="V552">
        <v>-1080918000</v>
      </c>
      <c r="W552" t="s">
        <v>191</v>
      </c>
      <c r="X552" t="s">
        <v>196</v>
      </c>
      <c r="Y552">
        <v>0</v>
      </c>
      <c r="Z552" t="s">
        <v>46</v>
      </c>
      <c r="AA552">
        <v>-8.0961114143358534E-2</v>
      </c>
      <c r="AB552">
        <v>0</v>
      </c>
      <c r="AC552" t="s">
        <v>46</v>
      </c>
      <c r="AE552" t="s">
        <v>104</v>
      </c>
      <c r="AF552">
        <v>0</v>
      </c>
      <c r="AH552" t="s">
        <v>193</v>
      </c>
      <c r="AJ552">
        <v>-7.3211711888095422E-3</v>
      </c>
      <c r="AK552">
        <v>-7.3211711888095422E-3</v>
      </c>
      <c r="AL552">
        <v>0</v>
      </c>
      <c r="AN552" t="s">
        <v>46</v>
      </c>
      <c r="AQ552">
        <v>0</v>
      </c>
    </row>
    <row r="553" spans="1:43" x14ac:dyDescent="0.2">
      <c r="A553">
        <v>551</v>
      </c>
      <c r="B553">
        <v>0</v>
      </c>
      <c r="C553">
        <v>7</v>
      </c>
      <c r="D553">
        <v>0</v>
      </c>
      <c r="E553" t="s">
        <v>195</v>
      </c>
      <c r="F553" t="s">
        <v>49</v>
      </c>
      <c r="G553" t="s">
        <v>1012</v>
      </c>
      <c r="H553">
        <v>0</v>
      </c>
      <c r="I553">
        <v>0</v>
      </c>
      <c r="J553">
        <v>0</v>
      </c>
      <c r="L553" s="1">
        <v>43280</v>
      </c>
      <c r="M553" s="1">
        <v>43165</v>
      </c>
      <c r="N553" s="1"/>
      <c r="R553">
        <v>0</v>
      </c>
      <c r="T553" t="s">
        <v>39</v>
      </c>
      <c r="V553">
        <v>671699968</v>
      </c>
      <c r="W553" t="s">
        <v>191</v>
      </c>
      <c r="X553" t="s">
        <v>192</v>
      </c>
      <c r="Y553">
        <v>0</v>
      </c>
      <c r="Z553" t="s">
        <v>46</v>
      </c>
      <c r="AA553">
        <v>0</v>
      </c>
      <c r="AB553">
        <v>0</v>
      </c>
      <c r="AC553" t="s">
        <v>46</v>
      </c>
      <c r="AE553" t="s">
        <v>104</v>
      </c>
      <c r="AF553">
        <v>0</v>
      </c>
      <c r="AH553" t="s">
        <v>193</v>
      </c>
      <c r="AJ553">
        <v>4.5494944604918142E-3</v>
      </c>
      <c r="AK553">
        <v>4.5494944604918142E-3</v>
      </c>
      <c r="AL553">
        <v>0</v>
      </c>
      <c r="AN553" t="s">
        <v>46</v>
      </c>
      <c r="AQ553">
        <v>0</v>
      </c>
    </row>
    <row r="554" spans="1:43" x14ac:dyDescent="0.2">
      <c r="A554">
        <v>552</v>
      </c>
      <c r="B554">
        <v>66</v>
      </c>
      <c r="C554">
        <v>7</v>
      </c>
      <c r="D554">
        <v>0</v>
      </c>
      <c r="E554" t="s">
        <v>195</v>
      </c>
      <c r="F554" t="s">
        <v>49</v>
      </c>
      <c r="G554" t="s">
        <v>1012</v>
      </c>
      <c r="H554">
        <v>0</v>
      </c>
      <c r="I554">
        <v>-1.0755087623335844E-4</v>
      </c>
      <c r="J554">
        <v>0</v>
      </c>
      <c r="L554" s="1">
        <v>43280</v>
      </c>
      <c r="M554" s="1">
        <v>43165</v>
      </c>
      <c r="N554" s="1"/>
      <c r="R554">
        <v>2.6442705986161229E-2</v>
      </c>
      <c r="T554" t="s">
        <v>30</v>
      </c>
      <c r="V554">
        <v>-600510000</v>
      </c>
      <c r="W554" t="s">
        <v>191</v>
      </c>
      <c r="X554" t="s">
        <v>196</v>
      </c>
      <c r="Y554">
        <v>0</v>
      </c>
      <c r="Z554" t="s">
        <v>46</v>
      </c>
      <c r="AA554">
        <v>-4.4978396746310295E-2</v>
      </c>
      <c r="AB554">
        <v>0</v>
      </c>
      <c r="AC554" t="s">
        <v>46</v>
      </c>
      <c r="AE554" t="s">
        <v>104</v>
      </c>
      <c r="AF554">
        <v>0</v>
      </c>
      <c r="AH554" t="s">
        <v>193</v>
      </c>
      <c r="AJ554">
        <v>-4.0673173271164121E-3</v>
      </c>
      <c r="AK554">
        <v>-4.0673173271164121E-3</v>
      </c>
      <c r="AL554">
        <v>0</v>
      </c>
      <c r="AN554" t="s">
        <v>46</v>
      </c>
      <c r="AQ554">
        <v>0</v>
      </c>
    </row>
    <row r="555" spans="1:43" x14ac:dyDescent="0.2">
      <c r="A555">
        <v>553</v>
      </c>
      <c r="B555">
        <v>0</v>
      </c>
      <c r="C555">
        <v>7</v>
      </c>
      <c r="D555">
        <v>0</v>
      </c>
      <c r="E555" t="s">
        <v>195</v>
      </c>
      <c r="F555" t="s">
        <v>49</v>
      </c>
      <c r="G555" t="s">
        <v>1013</v>
      </c>
      <c r="H555">
        <v>0</v>
      </c>
      <c r="I555">
        <v>0</v>
      </c>
      <c r="J555">
        <v>0</v>
      </c>
      <c r="L555" s="1">
        <v>43322</v>
      </c>
      <c r="M555" s="1">
        <v>43165</v>
      </c>
      <c r="N555" s="1"/>
      <c r="R555">
        <v>0</v>
      </c>
      <c r="T555" t="s">
        <v>39</v>
      </c>
      <c r="V555">
        <v>549948032</v>
      </c>
      <c r="W555" t="s">
        <v>191</v>
      </c>
      <c r="X555" t="s">
        <v>192</v>
      </c>
      <c r="Y555">
        <v>0</v>
      </c>
      <c r="Z555" t="s">
        <v>46</v>
      </c>
      <c r="AA555">
        <v>0</v>
      </c>
      <c r="AB555">
        <v>0</v>
      </c>
      <c r="AC555" t="s">
        <v>46</v>
      </c>
      <c r="AE555" t="s">
        <v>104</v>
      </c>
      <c r="AF555">
        <v>0</v>
      </c>
      <c r="AH555" t="s">
        <v>193</v>
      </c>
      <c r="AJ555">
        <v>3.7248558051775509E-3</v>
      </c>
      <c r="AK555">
        <v>3.7248558051775509E-3</v>
      </c>
      <c r="AL555">
        <v>0</v>
      </c>
      <c r="AN555" t="s">
        <v>46</v>
      </c>
      <c r="AQ555">
        <v>0</v>
      </c>
    </row>
    <row r="556" spans="1:43" x14ac:dyDescent="0.2">
      <c r="A556">
        <v>554</v>
      </c>
      <c r="B556">
        <v>66</v>
      </c>
      <c r="C556">
        <v>7</v>
      </c>
      <c r="D556">
        <v>0</v>
      </c>
      <c r="E556" t="s">
        <v>195</v>
      </c>
      <c r="F556" t="s">
        <v>49</v>
      </c>
      <c r="G556" t="s">
        <v>1013</v>
      </c>
      <c r="H556">
        <v>0</v>
      </c>
      <c r="I556">
        <v>-9.0342736036021096E-5</v>
      </c>
      <c r="J556">
        <v>0</v>
      </c>
      <c r="L556" s="1">
        <v>43322</v>
      </c>
      <c r="M556" s="1">
        <v>43165</v>
      </c>
      <c r="N556" s="1"/>
      <c r="R556">
        <v>2.6442705986161229E-2</v>
      </c>
      <c r="T556" t="s">
        <v>30</v>
      </c>
      <c r="V556">
        <v>-504428400</v>
      </c>
      <c r="W556" t="s">
        <v>191</v>
      </c>
      <c r="X556" t="s">
        <v>196</v>
      </c>
      <c r="Y556">
        <v>0</v>
      </c>
      <c r="Z556" t="s">
        <v>46</v>
      </c>
      <c r="AA556">
        <v>-3.7781853266900652E-2</v>
      </c>
      <c r="AB556">
        <v>0</v>
      </c>
      <c r="AC556" t="s">
        <v>46</v>
      </c>
      <c r="AE556" t="s">
        <v>104</v>
      </c>
      <c r="AF556">
        <v>0</v>
      </c>
      <c r="AH556" t="s">
        <v>193</v>
      </c>
      <c r="AJ556">
        <v>-3.4165465547777861E-3</v>
      </c>
      <c r="AK556">
        <v>-3.4165465547777861E-3</v>
      </c>
      <c r="AL556">
        <v>0</v>
      </c>
      <c r="AN556" t="s">
        <v>46</v>
      </c>
      <c r="AQ556">
        <v>0</v>
      </c>
    </row>
    <row r="557" spans="1:43" x14ac:dyDescent="0.2">
      <c r="A557">
        <v>555</v>
      </c>
      <c r="B557">
        <v>0</v>
      </c>
      <c r="C557">
        <v>7</v>
      </c>
      <c r="D557">
        <v>0</v>
      </c>
      <c r="E557" t="s">
        <v>195</v>
      </c>
      <c r="F557" t="s">
        <v>49</v>
      </c>
      <c r="G557" t="s">
        <v>1014</v>
      </c>
      <c r="H557">
        <v>0</v>
      </c>
      <c r="I557">
        <v>0</v>
      </c>
      <c r="J557">
        <v>0</v>
      </c>
      <c r="L557" s="1">
        <v>43326</v>
      </c>
      <c r="M557" s="1">
        <v>43165</v>
      </c>
      <c r="N557" s="1"/>
      <c r="R557">
        <v>0</v>
      </c>
      <c r="T557" t="s">
        <v>39</v>
      </c>
      <c r="V557">
        <v>346657100</v>
      </c>
      <c r="W557" t="s">
        <v>191</v>
      </c>
      <c r="X557" t="s">
        <v>192</v>
      </c>
      <c r="Y557">
        <v>0</v>
      </c>
      <c r="Z557" t="s">
        <v>46</v>
      </c>
      <c r="AA557">
        <v>0</v>
      </c>
      <c r="AB557">
        <v>0</v>
      </c>
      <c r="AC557" t="s">
        <v>46</v>
      </c>
      <c r="AE557" t="s">
        <v>104</v>
      </c>
      <c r="AF557">
        <v>0</v>
      </c>
      <c r="AH557" t="s">
        <v>193</v>
      </c>
      <c r="AJ557">
        <v>2.347944962445133E-3</v>
      </c>
      <c r="AK557">
        <v>2.347944962445133E-3</v>
      </c>
      <c r="AL557">
        <v>0</v>
      </c>
      <c r="AN557" t="s">
        <v>46</v>
      </c>
      <c r="AQ557">
        <v>0</v>
      </c>
    </row>
    <row r="558" spans="1:43" x14ac:dyDescent="0.2">
      <c r="A558">
        <v>556</v>
      </c>
      <c r="B558">
        <v>66</v>
      </c>
      <c r="C558">
        <v>7</v>
      </c>
      <c r="D558">
        <v>0</v>
      </c>
      <c r="E558" t="s">
        <v>195</v>
      </c>
      <c r="F558" t="s">
        <v>49</v>
      </c>
      <c r="G558" t="s">
        <v>1014</v>
      </c>
      <c r="H558">
        <v>0</v>
      </c>
      <c r="I558">
        <v>-5.7001964403679974E-5</v>
      </c>
      <c r="J558">
        <v>0</v>
      </c>
      <c r="L558" s="1">
        <v>43326</v>
      </c>
      <c r="M558" s="1">
        <v>43165</v>
      </c>
      <c r="N558" s="1"/>
      <c r="R558">
        <v>2.6442705986161229E-2</v>
      </c>
      <c r="T558" t="s">
        <v>30</v>
      </c>
      <c r="V558">
        <v>-318270300</v>
      </c>
      <c r="W558" t="s">
        <v>191</v>
      </c>
      <c r="X558" t="s">
        <v>196</v>
      </c>
      <c r="Y558">
        <v>0</v>
      </c>
      <c r="Z558" t="s">
        <v>46</v>
      </c>
      <c r="AA558">
        <v>-2.3838550275544455E-2</v>
      </c>
      <c r="AB558">
        <v>0</v>
      </c>
      <c r="AC558" t="s">
        <v>46</v>
      </c>
      <c r="AE558" t="s">
        <v>104</v>
      </c>
      <c r="AF558">
        <v>0</v>
      </c>
      <c r="AH558" t="s">
        <v>193</v>
      </c>
      <c r="AJ558">
        <v>-2.1556781833716983E-3</v>
      </c>
      <c r="AK558">
        <v>-2.1556781833716983E-3</v>
      </c>
      <c r="AL558">
        <v>0</v>
      </c>
      <c r="AN558" t="s">
        <v>46</v>
      </c>
      <c r="AQ558">
        <v>0</v>
      </c>
    </row>
    <row r="559" spans="1:43" x14ac:dyDescent="0.2">
      <c r="A559">
        <v>557</v>
      </c>
      <c r="B559">
        <v>0</v>
      </c>
      <c r="C559">
        <v>7</v>
      </c>
      <c r="D559">
        <v>0</v>
      </c>
      <c r="E559" t="s">
        <v>195</v>
      </c>
      <c r="F559" t="s">
        <v>49</v>
      </c>
      <c r="G559" t="s">
        <v>1015</v>
      </c>
      <c r="H559">
        <v>0</v>
      </c>
      <c r="I559">
        <v>0</v>
      </c>
      <c r="J559">
        <v>0</v>
      </c>
      <c r="L559" s="1">
        <v>43201</v>
      </c>
      <c r="M559" s="1">
        <v>43165</v>
      </c>
      <c r="N559" s="1"/>
      <c r="R559">
        <v>0</v>
      </c>
      <c r="T559" t="s">
        <v>39</v>
      </c>
      <c r="V559">
        <v>-649430016</v>
      </c>
      <c r="W559" t="s">
        <v>191</v>
      </c>
      <c r="X559" t="s">
        <v>196</v>
      </c>
      <c r="Y559">
        <v>0</v>
      </c>
      <c r="Z559" t="s">
        <v>46</v>
      </c>
      <c r="AA559">
        <v>0</v>
      </c>
      <c r="AB559">
        <v>0</v>
      </c>
      <c r="AC559" t="s">
        <v>46</v>
      </c>
      <c r="AE559" t="s">
        <v>104</v>
      </c>
      <c r="AF559">
        <v>0</v>
      </c>
      <c r="AH559" t="s">
        <v>193</v>
      </c>
      <c r="AJ559">
        <v>-4.398657735635191E-3</v>
      </c>
      <c r="AK559">
        <v>-4.398657735635191E-3</v>
      </c>
      <c r="AL559">
        <v>0</v>
      </c>
      <c r="AN559" t="s">
        <v>46</v>
      </c>
      <c r="AQ559">
        <v>0</v>
      </c>
    </row>
    <row r="560" spans="1:43" x14ac:dyDescent="0.2">
      <c r="A560">
        <v>558</v>
      </c>
      <c r="B560">
        <v>66</v>
      </c>
      <c r="C560">
        <v>7</v>
      </c>
      <c r="D560">
        <v>0</v>
      </c>
      <c r="E560" t="s">
        <v>195</v>
      </c>
      <c r="F560" t="s">
        <v>49</v>
      </c>
      <c r="G560" t="s">
        <v>1015</v>
      </c>
      <c r="H560">
        <v>0</v>
      </c>
      <c r="I560">
        <v>1.0755087623335844E-4</v>
      </c>
      <c r="J560">
        <v>0</v>
      </c>
      <c r="L560" s="1">
        <v>43201</v>
      </c>
      <c r="M560" s="1">
        <v>43165</v>
      </c>
      <c r="N560" s="1"/>
      <c r="R560">
        <v>2.6442705986161229E-2</v>
      </c>
      <c r="T560" t="s">
        <v>30</v>
      </c>
      <c r="V560">
        <v>600510000</v>
      </c>
      <c r="W560" t="s">
        <v>191</v>
      </c>
      <c r="X560" t="s">
        <v>192</v>
      </c>
      <c r="Y560">
        <v>0</v>
      </c>
      <c r="Z560" t="s">
        <v>46</v>
      </c>
      <c r="AA560">
        <v>4.4978396746310295E-2</v>
      </c>
      <c r="AB560">
        <v>0</v>
      </c>
      <c r="AC560" t="s">
        <v>46</v>
      </c>
      <c r="AE560" t="s">
        <v>104</v>
      </c>
      <c r="AF560">
        <v>0</v>
      </c>
      <c r="AH560" t="s">
        <v>193</v>
      </c>
      <c r="AJ560">
        <v>4.0673173271164121E-3</v>
      </c>
      <c r="AK560">
        <v>4.0673173271164121E-3</v>
      </c>
      <c r="AL560">
        <v>0</v>
      </c>
      <c r="AN560" t="s">
        <v>46</v>
      </c>
      <c r="AQ560">
        <v>0</v>
      </c>
    </row>
    <row r="561" spans="1:43" x14ac:dyDescent="0.2">
      <c r="A561">
        <v>559</v>
      </c>
      <c r="B561">
        <v>0</v>
      </c>
      <c r="C561">
        <v>7</v>
      </c>
      <c r="D561">
        <v>0</v>
      </c>
      <c r="E561" t="s">
        <v>195</v>
      </c>
      <c r="F561" t="s">
        <v>49</v>
      </c>
      <c r="G561" t="s">
        <v>1016</v>
      </c>
      <c r="H561">
        <v>0</v>
      </c>
      <c r="I561">
        <v>0</v>
      </c>
      <c r="J561">
        <v>0</v>
      </c>
      <c r="L561" s="1">
        <v>43217</v>
      </c>
      <c r="M561" s="1">
        <v>43165</v>
      </c>
      <c r="N561" s="1"/>
      <c r="R561">
        <v>0</v>
      </c>
      <c r="T561" t="s">
        <v>39</v>
      </c>
      <c r="V561">
        <v>-943875008</v>
      </c>
      <c r="W561" t="s">
        <v>191</v>
      </c>
      <c r="X561" t="s">
        <v>196</v>
      </c>
      <c r="Y561">
        <v>0</v>
      </c>
      <c r="Z561" t="s">
        <v>46</v>
      </c>
      <c r="AA561">
        <v>0</v>
      </c>
      <c r="AB561">
        <v>0</v>
      </c>
      <c r="AC561" t="s">
        <v>46</v>
      </c>
      <c r="AE561" t="s">
        <v>104</v>
      </c>
      <c r="AF561">
        <v>0</v>
      </c>
      <c r="AH561" t="s">
        <v>193</v>
      </c>
      <c r="AJ561">
        <v>-6.3929646045370473E-3</v>
      </c>
      <c r="AK561">
        <v>-6.3929646045370473E-3</v>
      </c>
      <c r="AL561">
        <v>0</v>
      </c>
      <c r="AN561" t="s">
        <v>46</v>
      </c>
      <c r="AQ561">
        <v>0</v>
      </c>
    </row>
    <row r="562" spans="1:43" x14ac:dyDescent="0.2">
      <c r="A562">
        <v>560</v>
      </c>
      <c r="B562">
        <v>66</v>
      </c>
      <c r="C562">
        <v>7</v>
      </c>
      <c r="D562">
        <v>0</v>
      </c>
      <c r="E562" t="s">
        <v>195</v>
      </c>
      <c r="F562" t="s">
        <v>49</v>
      </c>
      <c r="G562" t="s">
        <v>1016</v>
      </c>
      <c r="H562">
        <v>0</v>
      </c>
      <c r="I562">
        <v>1.6132631435003767E-4</v>
      </c>
      <c r="J562">
        <v>0</v>
      </c>
      <c r="L562" s="1">
        <v>43217</v>
      </c>
      <c r="M562" s="1">
        <v>43165</v>
      </c>
      <c r="N562" s="1"/>
      <c r="R562">
        <v>2.6442705986161229E-2</v>
      </c>
      <c r="T562" t="s">
        <v>30</v>
      </c>
      <c r="V562">
        <v>900765000</v>
      </c>
      <c r="W562" t="s">
        <v>191</v>
      </c>
      <c r="X562" t="s">
        <v>192</v>
      </c>
      <c r="Y562">
        <v>0</v>
      </c>
      <c r="Z562" t="s">
        <v>46</v>
      </c>
      <c r="AA562">
        <v>6.7467595119465443E-2</v>
      </c>
      <c r="AB562">
        <v>0</v>
      </c>
      <c r="AC562" t="s">
        <v>46</v>
      </c>
      <c r="AE562" t="s">
        <v>104</v>
      </c>
      <c r="AF562">
        <v>0</v>
      </c>
      <c r="AH562" t="s">
        <v>193</v>
      </c>
      <c r="AJ562">
        <v>6.1009759906746185E-3</v>
      </c>
      <c r="AK562">
        <v>6.1009759906746185E-3</v>
      </c>
      <c r="AL562">
        <v>0</v>
      </c>
      <c r="AN562" t="s">
        <v>46</v>
      </c>
      <c r="AQ562">
        <v>0</v>
      </c>
    </row>
    <row r="563" spans="1:43" x14ac:dyDescent="0.2">
      <c r="A563">
        <v>561</v>
      </c>
      <c r="B563">
        <v>0</v>
      </c>
      <c r="C563">
        <v>7</v>
      </c>
      <c r="D563">
        <v>0</v>
      </c>
      <c r="E563" t="s">
        <v>195</v>
      </c>
      <c r="F563" t="s">
        <v>49</v>
      </c>
      <c r="G563" t="s">
        <v>1017</v>
      </c>
      <c r="H563">
        <v>0</v>
      </c>
      <c r="I563">
        <v>0</v>
      </c>
      <c r="J563">
        <v>0</v>
      </c>
      <c r="L563" s="1">
        <v>43280</v>
      </c>
      <c r="M563" s="1">
        <v>43165</v>
      </c>
      <c r="N563" s="1"/>
      <c r="R563">
        <v>0</v>
      </c>
      <c r="T563" t="s">
        <v>39</v>
      </c>
      <c r="V563">
        <v>-336274400</v>
      </c>
      <c r="W563" t="s">
        <v>191</v>
      </c>
      <c r="X563" t="s">
        <v>196</v>
      </c>
      <c r="Y563">
        <v>0</v>
      </c>
      <c r="Z563" t="s">
        <v>46</v>
      </c>
      <c r="AA563">
        <v>0</v>
      </c>
      <c r="AB563">
        <v>0</v>
      </c>
      <c r="AC563" t="s">
        <v>46</v>
      </c>
      <c r="AE563" t="s">
        <v>104</v>
      </c>
      <c r="AF563">
        <v>0</v>
      </c>
      <c r="AH563" t="s">
        <v>193</v>
      </c>
      <c r="AJ563">
        <v>-2.2776218444083784E-3</v>
      </c>
      <c r="AK563">
        <v>-2.2776218444083784E-3</v>
      </c>
      <c r="AL563">
        <v>0</v>
      </c>
      <c r="AN563" t="s">
        <v>46</v>
      </c>
      <c r="AQ563">
        <v>0</v>
      </c>
    </row>
    <row r="564" spans="1:43" x14ac:dyDescent="0.2">
      <c r="A564">
        <v>562</v>
      </c>
      <c r="B564">
        <v>66</v>
      </c>
      <c r="C564">
        <v>7</v>
      </c>
      <c r="D564">
        <v>0</v>
      </c>
      <c r="E564" t="s">
        <v>195</v>
      </c>
      <c r="F564" t="s">
        <v>49</v>
      </c>
      <c r="G564" t="s">
        <v>1017</v>
      </c>
      <c r="H564">
        <v>0</v>
      </c>
      <c r="I564">
        <v>5.7001964403679974E-5</v>
      </c>
      <c r="J564">
        <v>0</v>
      </c>
      <c r="L564" s="1">
        <v>43280</v>
      </c>
      <c r="M564" s="1">
        <v>43165</v>
      </c>
      <c r="N564" s="1"/>
      <c r="R564">
        <v>2.6442705986161229E-2</v>
      </c>
      <c r="T564" t="s">
        <v>30</v>
      </c>
      <c r="V564">
        <v>318270300</v>
      </c>
      <c r="W564" t="s">
        <v>191</v>
      </c>
      <c r="X564" t="s">
        <v>192</v>
      </c>
      <c r="Y564">
        <v>0</v>
      </c>
      <c r="Z564" t="s">
        <v>46</v>
      </c>
      <c r="AA564">
        <v>2.3838550275544455E-2</v>
      </c>
      <c r="AB564">
        <v>0</v>
      </c>
      <c r="AC564" t="s">
        <v>46</v>
      </c>
      <c r="AE564" t="s">
        <v>104</v>
      </c>
      <c r="AF564">
        <v>0</v>
      </c>
      <c r="AH564" t="s">
        <v>193</v>
      </c>
      <c r="AJ564">
        <v>2.1556781833716983E-3</v>
      </c>
      <c r="AK564">
        <v>2.1556781833716983E-3</v>
      </c>
      <c r="AL564">
        <v>0</v>
      </c>
      <c r="AN564" t="s">
        <v>46</v>
      </c>
      <c r="AQ564">
        <v>0</v>
      </c>
    </row>
    <row r="565" spans="1:43" x14ac:dyDescent="0.2">
      <c r="A565">
        <v>563</v>
      </c>
      <c r="B565">
        <v>0</v>
      </c>
      <c r="C565">
        <v>7</v>
      </c>
      <c r="D565">
        <v>0</v>
      </c>
      <c r="E565" t="s">
        <v>195</v>
      </c>
      <c r="F565" t="s">
        <v>49</v>
      </c>
      <c r="G565" t="s">
        <v>1018</v>
      </c>
      <c r="H565">
        <v>0</v>
      </c>
      <c r="I565">
        <v>0</v>
      </c>
      <c r="J565">
        <v>0</v>
      </c>
      <c r="L565" s="1">
        <v>43326</v>
      </c>
      <c r="M565" s="1">
        <v>43165</v>
      </c>
      <c r="N565" s="1"/>
      <c r="R565">
        <v>0</v>
      </c>
      <c r="T565" t="s">
        <v>39</v>
      </c>
      <c r="V565">
        <v>-336724896</v>
      </c>
      <c r="W565" t="s">
        <v>191</v>
      </c>
      <c r="X565" t="s">
        <v>196</v>
      </c>
      <c r="Y565">
        <v>0</v>
      </c>
      <c r="Z565" t="s">
        <v>46</v>
      </c>
      <c r="AA565">
        <v>0</v>
      </c>
      <c r="AB565">
        <v>0</v>
      </c>
      <c r="AC565" t="s">
        <v>46</v>
      </c>
      <c r="AE565" t="s">
        <v>104</v>
      </c>
      <c r="AF565">
        <v>0</v>
      </c>
      <c r="AH565" t="s">
        <v>193</v>
      </c>
      <c r="AJ565">
        <v>-2.2806731011511413E-3</v>
      </c>
      <c r="AK565">
        <v>-2.2806731011511413E-3</v>
      </c>
      <c r="AL565">
        <v>0</v>
      </c>
      <c r="AN565" t="s">
        <v>46</v>
      </c>
      <c r="AQ565">
        <v>0</v>
      </c>
    </row>
    <row r="566" spans="1:43" x14ac:dyDescent="0.2">
      <c r="A566">
        <v>564</v>
      </c>
      <c r="B566">
        <v>66</v>
      </c>
      <c r="C566">
        <v>7</v>
      </c>
      <c r="D566">
        <v>0</v>
      </c>
      <c r="E566" t="s">
        <v>195</v>
      </c>
      <c r="F566" t="s">
        <v>49</v>
      </c>
      <c r="G566" t="s">
        <v>1018</v>
      </c>
      <c r="H566">
        <v>0</v>
      </c>
      <c r="I566">
        <v>5.7001964403679974E-5</v>
      </c>
      <c r="J566">
        <v>0</v>
      </c>
      <c r="L566" s="1">
        <v>43326</v>
      </c>
      <c r="M566" s="1">
        <v>43165</v>
      </c>
      <c r="N566" s="1"/>
      <c r="R566">
        <v>2.6442705986161229E-2</v>
      </c>
      <c r="T566" t="s">
        <v>30</v>
      </c>
      <c r="V566">
        <v>318270300</v>
      </c>
      <c r="W566" t="s">
        <v>191</v>
      </c>
      <c r="X566" t="s">
        <v>192</v>
      </c>
      <c r="Y566">
        <v>0</v>
      </c>
      <c r="Z566" t="s">
        <v>46</v>
      </c>
      <c r="AA566">
        <v>2.3838550275544455E-2</v>
      </c>
      <c r="AB566">
        <v>0</v>
      </c>
      <c r="AC566" t="s">
        <v>46</v>
      </c>
      <c r="AE566" t="s">
        <v>104</v>
      </c>
      <c r="AF566">
        <v>0</v>
      </c>
      <c r="AH566" t="s">
        <v>193</v>
      </c>
      <c r="AJ566">
        <v>2.1556781833716983E-3</v>
      </c>
      <c r="AK566">
        <v>2.1556781833716983E-3</v>
      </c>
      <c r="AL566">
        <v>0</v>
      </c>
      <c r="AN566" t="s">
        <v>46</v>
      </c>
      <c r="AQ566">
        <v>0</v>
      </c>
    </row>
    <row r="567" spans="1:43" x14ac:dyDescent="0.2">
      <c r="A567">
        <v>565</v>
      </c>
      <c r="B567">
        <v>66</v>
      </c>
      <c r="C567">
        <v>7</v>
      </c>
      <c r="D567">
        <v>2700000</v>
      </c>
      <c r="E567" t="s">
        <v>970</v>
      </c>
      <c r="F567" t="s">
        <v>49</v>
      </c>
      <c r="G567" t="s">
        <v>971</v>
      </c>
      <c r="H567">
        <v>5.9573384779843662E-2</v>
      </c>
      <c r="I567">
        <v>2.9834876862383676E-4</v>
      </c>
      <c r="J567">
        <v>5.28</v>
      </c>
      <c r="L567" s="1">
        <v>45556</v>
      </c>
      <c r="M567" s="1">
        <v>43165</v>
      </c>
      <c r="N567" s="1"/>
      <c r="R567">
        <v>2.6442705986161229E-2</v>
      </c>
      <c r="T567" t="s">
        <v>30</v>
      </c>
      <c r="V567">
        <v>1665829469</v>
      </c>
      <c r="W567" t="s">
        <v>972</v>
      </c>
      <c r="X567" t="s">
        <v>973</v>
      </c>
      <c r="Y567">
        <v>2700000</v>
      </c>
      <c r="Z567" t="s">
        <v>31</v>
      </c>
      <c r="AA567">
        <v>0.12477117578121498</v>
      </c>
      <c r="AB567">
        <v>100.5521</v>
      </c>
      <c r="AC567" t="s">
        <v>140</v>
      </c>
      <c r="AE567" t="s">
        <v>166</v>
      </c>
      <c r="AF567">
        <v>0</v>
      </c>
      <c r="AH567" t="s">
        <v>244</v>
      </c>
      <c r="AJ567">
        <v>1.1282838026485541E-2</v>
      </c>
      <c r="AK567">
        <v>1.1282838026485541E-2</v>
      </c>
      <c r="AL567">
        <v>0</v>
      </c>
      <c r="AN567" t="s">
        <v>155</v>
      </c>
      <c r="AQ567">
        <v>0</v>
      </c>
    </row>
    <row r="568" spans="1:43" x14ac:dyDescent="0.2">
      <c r="A568">
        <v>566</v>
      </c>
      <c r="B568">
        <v>66</v>
      </c>
      <c r="C568">
        <v>7</v>
      </c>
      <c r="D568">
        <v>500000</v>
      </c>
      <c r="E568" t="s">
        <v>941</v>
      </c>
      <c r="F568" t="s">
        <v>49</v>
      </c>
      <c r="G568" t="s">
        <v>942</v>
      </c>
      <c r="H568">
        <v>4.4978099102943331E-3</v>
      </c>
      <c r="I568">
        <v>5.6906346908878116E-5</v>
      </c>
      <c r="J568">
        <v>2.09</v>
      </c>
      <c r="L568" s="1">
        <v>43991</v>
      </c>
      <c r="M568" s="1">
        <v>43165</v>
      </c>
      <c r="N568" s="1"/>
      <c r="R568">
        <v>2.6442705986161229E-2</v>
      </c>
      <c r="T568" t="s">
        <v>30</v>
      </c>
      <c r="V568">
        <v>317736420</v>
      </c>
      <c r="W568" t="s">
        <v>278</v>
      </c>
      <c r="X568" t="s">
        <v>943</v>
      </c>
      <c r="Y568">
        <v>500000</v>
      </c>
      <c r="Z568" t="s">
        <v>31</v>
      </c>
      <c r="AA568">
        <v>2.3798562487739226E-2</v>
      </c>
      <c r="AB568">
        <v>104.88339999999999</v>
      </c>
      <c r="AC568" t="s">
        <v>140</v>
      </c>
      <c r="AE568" t="s">
        <v>53</v>
      </c>
      <c r="AF568">
        <v>0</v>
      </c>
      <c r="AH568" t="s">
        <v>244</v>
      </c>
      <c r="AJ568">
        <v>2.1520621580355661E-3</v>
      </c>
      <c r="AK568">
        <v>2.1520621580355661E-3</v>
      </c>
      <c r="AL568">
        <v>0</v>
      </c>
      <c r="AN568" t="s">
        <v>155</v>
      </c>
      <c r="AQ568">
        <v>0</v>
      </c>
    </row>
    <row r="569" spans="1:43" x14ac:dyDescent="0.2">
      <c r="A569">
        <v>567</v>
      </c>
      <c r="B569">
        <v>66</v>
      </c>
      <c r="C569">
        <v>7</v>
      </c>
      <c r="D569">
        <v>1000000</v>
      </c>
      <c r="E569" t="s">
        <v>965</v>
      </c>
      <c r="F569" t="s">
        <v>49</v>
      </c>
      <c r="G569" t="s">
        <v>966</v>
      </c>
      <c r="H569">
        <v>2.0876543886143909E-2</v>
      </c>
      <c r="I569">
        <v>1.1265965550785615E-4</v>
      </c>
      <c r="J569">
        <v>4.9000000000000004</v>
      </c>
      <c r="L569" s="1">
        <v>45306</v>
      </c>
      <c r="M569" s="1">
        <v>43165</v>
      </c>
      <c r="N569" s="1"/>
      <c r="R569">
        <v>2.6442705986161229E-2</v>
      </c>
      <c r="T569" t="s">
        <v>30</v>
      </c>
      <c r="V569">
        <v>629034854</v>
      </c>
      <c r="W569" t="s">
        <v>967</v>
      </c>
      <c r="X569" t="s">
        <v>968</v>
      </c>
      <c r="Y569">
        <v>1000000</v>
      </c>
      <c r="Z569" t="s">
        <v>31</v>
      </c>
      <c r="AA569">
        <v>4.7114917704067158E-2</v>
      </c>
      <c r="AB569">
        <v>104.5812</v>
      </c>
      <c r="AC569" t="s">
        <v>145</v>
      </c>
      <c r="AE569" t="s">
        <v>43</v>
      </c>
      <c r="AF569">
        <v>0</v>
      </c>
      <c r="AH569" t="s">
        <v>244</v>
      </c>
      <c r="AJ569">
        <v>4.2605191604375321E-3</v>
      </c>
      <c r="AK569">
        <v>4.2605191604375321E-3</v>
      </c>
      <c r="AL569">
        <v>0</v>
      </c>
      <c r="AN569" t="s">
        <v>969</v>
      </c>
      <c r="AQ569">
        <v>0</v>
      </c>
    </row>
    <row r="570" spans="1:43" x14ac:dyDescent="0.2">
      <c r="A570">
        <v>568</v>
      </c>
      <c r="B570">
        <v>145</v>
      </c>
      <c r="C570">
        <v>7</v>
      </c>
      <c r="D570">
        <v>1</v>
      </c>
      <c r="E570" t="s">
        <v>211</v>
      </c>
      <c r="F570" t="s">
        <v>49</v>
      </c>
      <c r="G570" t="s">
        <v>198</v>
      </c>
      <c r="H570">
        <v>2.7389146982300278E-4</v>
      </c>
      <c r="I570">
        <v>-1.8408114187263523E-7</v>
      </c>
      <c r="J570">
        <v>0.83</v>
      </c>
      <c r="L570" s="1">
        <v>43468</v>
      </c>
      <c r="M570" s="1">
        <v>43165</v>
      </c>
      <c r="N570" s="1"/>
      <c r="R570">
        <v>-5.5783901504133447E-4</v>
      </c>
      <c r="T570" t="s">
        <v>39</v>
      </c>
      <c r="V570">
        <v>48720597</v>
      </c>
      <c r="W570" t="s">
        <v>209</v>
      </c>
      <c r="X570" t="s">
        <v>212</v>
      </c>
      <c r="Y570">
        <v>50000000</v>
      </c>
      <c r="Z570" t="s">
        <v>31</v>
      </c>
      <c r="AA570">
        <v>-7.6983795229119308E-5</v>
      </c>
      <c r="AB570">
        <v>97.441193999999996</v>
      </c>
      <c r="AC570" t="s">
        <v>48</v>
      </c>
      <c r="AE570" t="s">
        <v>41</v>
      </c>
      <c r="AF570">
        <v>3.1199999999999999E-2</v>
      </c>
      <c r="AH570" t="s">
        <v>200</v>
      </c>
      <c r="AJ570">
        <v>3.2998972267831659E-4</v>
      </c>
      <c r="AK570">
        <v>3.2998972267831659E-4</v>
      </c>
      <c r="AL570">
        <v>0</v>
      </c>
      <c r="AQ570">
        <v>1.0295679347563478E-5</v>
      </c>
    </row>
    <row r="571" spans="1:43" x14ac:dyDescent="0.2">
      <c r="A571">
        <v>569</v>
      </c>
      <c r="B571">
        <v>145</v>
      </c>
      <c r="C571">
        <v>7</v>
      </c>
      <c r="D571">
        <v>1</v>
      </c>
      <c r="E571" t="s">
        <v>241</v>
      </c>
      <c r="F571" t="s">
        <v>49</v>
      </c>
      <c r="G571" t="s">
        <v>198</v>
      </c>
      <c r="H571">
        <v>2.7416128784238429E-4</v>
      </c>
      <c r="I571">
        <v>-1.842624852680234E-7</v>
      </c>
      <c r="J571">
        <v>0.83</v>
      </c>
      <c r="L571" s="1">
        <v>43468</v>
      </c>
      <c r="M571" s="1">
        <v>43165</v>
      </c>
      <c r="N571" s="1"/>
      <c r="R571">
        <v>-5.5783901504133447E-4</v>
      </c>
      <c r="T571" t="s">
        <v>39</v>
      </c>
      <c r="V571">
        <v>48768593</v>
      </c>
      <c r="W571" t="s">
        <v>242</v>
      </c>
      <c r="X571" t="s">
        <v>243</v>
      </c>
      <c r="Y571">
        <v>50000000</v>
      </c>
      <c r="Z571" t="s">
        <v>31</v>
      </c>
      <c r="AA571">
        <v>-7.7059634082978515E-5</v>
      </c>
      <c r="AB571">
        <v>97.537186000000005</v>
      </c>
      <c r="AC571" t="s">
        <v>48</v>
      </c>
      <c r="AE571" t="s">
        <v>41</v>
      </c>
      <c r="AF571">
        <v>0.03</v>
      </c>
      <c r="AH571" t="s">
        <v>200</v>
      </c>
      <c r="AJ571">
        <v>3.3031480462937865E-4</v>
      </c>
      <c r="AK571">
        <v>3.3031480462937865E-4</v>
      </c>
      <c r="AL571">
        <v>0</v>
      </c>
      <c r="AQ571">
        <v>9.9094441388813591E-6</v>
      </c>
    </row>
    <row r="572" spans="1:43" x14ac:dyDescent="0.2">
      <c r="A572">
        <v>570</v>
      </c>
      <c r="B572">
        <v>146</v>
      </c>
      <c r="C572">
        <v>7</v>
      </c>
      <c r="D572">
        <v>1</v>
      </c>
      <c r="E572" t="s">
        <v>976</v>
      </c>
      <c r="F572" t="s">
        <v>49</v>
      </c>
      <c r="G572" t="s">
        <v>198</v>
      </c>
      <c r="H572">
        <v>7.8660275962753011E-4</v>
      </c>
      <c r="I572">
        <v>-7.488150752518251E-7</v>
      </c>
      <c r="J572">
        <v>0.28999999999999998</v>
      </c>
      <c r="L572" s="1">
        <v>43272</v>
      </c>
      <c r="M572" s="1">
        <v>43165</v>
      </c>
      <c r="N572" s="1"/>
      <c r="R572">
        <v>-2.7606866256845645E-4</v>
      </c>
      <c r="T572" t="s">
        <v>39</v>
      </c>
      <c r="V572">
        <v>400469693</v>
      </c>
      <c r="W572" t="s">
        <v>977</v>
      </c>
      <c r="X572" t="s">
        <v>978</v>
      </c>
      <c r="Y572">
        <v>408911194</v>
      </c>
      <c r="Z572" t="s">
        <v>31</v>
      </c>
      <c r="AA572">
        <v>-3.1315878330192811E-4</v>
      </c>
      <c r="AB572">
        <v>97.935614999999999</v>
      </c>
      <c r="AC572" t="s">
        <v>140</v>
      </c>
      <c r="AE572" t="s">
        <v>84</v>
      </c>
      <c r="AF572">
        <v>7.0919999999999997E-2</v>
      </c>
      <c r="AH572" t="s">
        <v>979</v>
      </c>
      <c r="AJ572">
        <v>2.7124233090604489E-3</v>
      </c>
      <c r="AK572">
        <v>2.7124233090604489E-3</v>
      </c>
      <c r="AL572">
        <v>0</v>
      </c>
      <c r="AN572" t="s">
        <v>155</v>
      </c>
      <c r="AQ572">
        <v>1.9236506107856704E-4</v>
      </c>
    </row>
    <row r="573" spans="1:43" x14ac:dyDescent="0.2">
      <c r="A573">
        <v>571</v>
      </c>
      <c r="B573">
        <v>148</v>
      </c>
      <c r="C573">
        <v>7</v>
      </c>
      <c r="D573">
        <v>1</v>
      </c>
      <c r="E573" t="s">
        <v>260</v>
      </c>
      <c r="F573" t="s">
        <v>49</v>
      </c>
      <c r="G573" t="s">
        <v>198</v>
      </c>
      <c r="H573">
        <v>1.0983268820673056E-3</v>
      </c>
      <c r="I573">
        <v>-8.4021907434196654E-7</v>
      </c>
      <c r="J573">
        <v>0.41</v>
      </c>
      <c r="L573" s="1">
        <v>43313</v>
      </c>
      <c r="M573" s="1">
        <v>43165</v>
      </c>
      <c r="N573" s="1"/>
      <c r="R573">
        <v>-3.1364963027381853E-4</v>
      </c>
      <c r="T573" t="s">
        <v>39</v>
      </c>
      <c r="V573">
        <v>395512254</v>
      </c>
      <c r="W573" t="s">
        <v>261</v>
      </c>
      <c r="X573" t="s">
        <v>441</v>
      </c>
      <c r="Y573">
        <v>400000000</v>
      </c>
      <c r="Z573" t="s">
        <v>31</v>
      </c>
      <c r="AA573">
        <v>-3.5138446289895419E-4</v>
      </c>
      <c r="AB573">
        <v>98.878062999999997</v>
      </c>
      <c r="AC573" t="s">
        <v>48</v>
      </c>
      <c r="AE573" t="s">
        <v>41</v>
      </c>
      <c r="AF573">
        <v>2.76E-2</v>
      </c>
      <c r="AH573" t="s">
        <v>200</v>
      </c>
      <c r="AJ573">
        <v>2.6788460538226967E-3</v>
      </c>
      <c r="AK573">
        <v>2.6788460538226967E-3</v>
      </c>
      <c r="AL573">
        <v>0</v>
      </c>
      <c r="AQ573">
        <v>7.3936151085506429E-5</v>
      </c>
    </row>
    <row r="574" spans="1:43" x14ac:dyDescent="0.2">
      <c r="A574">
        <v>572</v>
      </c>
      <c r="B574">
        <v>148</v>
      </c>
      <c r="C574">
        <v>7</v>
      </c>
      <c r="D574">
        <v>1</v>
      </c>
      <c r="E574" t="s">
        <v>211</v>
      </c>
      <c r="F574" t="s">
        <v>49</v>
      </c>
      <c r="G574" t="s">
        <v>198</v>
      </c>
      <c r="H574">
        <v>7.9834865697360173E-5</v>
      </c>
      <c r="I574">
        <v>-7.3647576790991099E-8</v>
      </c>
      <c r="J574">
        <v>0.34</v>
      </c>
      <c r="L574" s="1">
        <v>43290</v>
      </c>
      <c r="M574" s="1">
        <v>43165</v>
      </c>
      <c r="N574" s="1"/>
      <c r="R574">
        <v>-3.1364963027381853E-4</v>
      </c>
      <c r="T574" t="s">
        <v>39</v>
      </c>
      <c r="V574">
        <v>34667767</v>
      </c>
      <c r="W574" t="s">
        <v>209</v>
      </c>
      <c r="X574" t="s">
        <v>212</v>
      </c>
      <c r="Y574">
        <v>35000000</v>
      </c>
      <c r="Z574" t="s">
        <v>31</v>
      </c>
      <c r="AA574">
        <v>-3.0799841380391439E-5</v>
      </c>
      <c r="AB574">
        <v>99.050762000000006</v>
      </c>
      <c r="AC574" t="s">
        <v>48</v>
      </c>
      <c r="AE574" t="s">
        <v>41</v>
      </c>
      <c r="AF574">
        <v>2.76E-2</v>
      </c>
      <c r="AH574" t="s">
        <v>200</v>
      </c>
      <c r="AJ574">
        <v>2.3480842852164753E-4</v>
      </c>
      <c r="AK574">
        <v>2.3480842852164753E-4</v>
      </c>
      <c r="AL574">
        <v>0</v>
      </c>
      <c r="AQ574">
        <v>6.480712627197472E-6</v>
      </c>
    </row>
    <row r="575" spans="1:43" x14ac:dyDescent="0.2">
      <c r="A575">
        <v>573</v>
      </c>
      <c r="B575">
        <v>149</v>
      </c>
      <c r="C575">
        <v>7</v>
      </c>
      <c r="D575">
        <v>1</v>
      </c>
      <c r="E575" t="s">
        <v>976</v>
      </c>
      <c r="F575" t="s">
        <v>49</v>
      </c>
      <c r="G575" t="s">
        <v>198</v>
      </c>
      <c r="H575">
        <v>3.2539245187252467E-4</v>
      </c>
      <c r="I575">
        <v>-4.1639576660986657E-7</v>
      </c>
      <c r="J575">
        <v>0.16</v>
      </c>
      <c r="L575" s="1">
        <v>43224</v>
      </c>
      <c r="M575" s="1">
        <v>43165</v>
      </c>
      <c r="N575" s="1"/>
      <c r="R575">
        <v>-2.0474759716823093E-4</v>
      </c>
      <c r="T575" t="s">
        <v>39</v>
      </c>
      <c r="V575">
        <v>300261520</v>
      </c>
      <c r="W575" t="s">
        <v>977</v>
      </c>
      <c r="X575" t="s">
        <v>978</v>
      </c>
      <c r="Y575">
        <v>303710124</v>
      </c>
      <c r="Z575" t="s">
        <v>31</v>
      </c>
      <c r="AA575">
        <v>-1.7413911118144469E-4</v>
      </c>
      <c r="AB575">
        <v>98.864508000000001</v>
      </c>
      <c r="AC575" t="s">
        <v>140</v>
      </c>
      <c r="AE575" t="s">
        <v>84</v>
      </c>
      <c r="AF575">
        <v>7.0080000000000003E-2</v>
      </c>
      <c r="AH575" t="s">
        <v>979</v>
      </c>
      <c r="AJ575">
        <v>2.0337028242032791E-3</v>
      </c>
      <c r="AK575">
        <v>2.0337028242032791E-3</v>
      </c>
      <c r="AL575">
        <v>0</v>
      </c>
      <c r="AN575" t="s">
        <v>155</v>
      </c>
      <c r="AQ575">
        <v>1.4252189392016581E-4</v>
      </c>
    </row>
    <row r="576" spans="1:43" x14ac:dyDescent="0.2">
      <c r="A576">
        <v>574</v>
      </c>
      <c r="B576">
        <v>151</v>
      </c>
      <c r="C576">
        <v>7</v>
      </c>
      <c r="D576">
        <v>1</v>
      </c>
      <c r="E576" t="s">
        <v>976</v>
      </c>
      <c r="F576" t="s">
        <v>49</v>
      </c>
      <c r="G576" t="s">
        <v>198</v>
      </c>
      <c r="H576">
        <v>4.0706564001861279E-5</v>
      </c>
      <c r="I576">
        <v>-3.6923475681607428E-8</v>
      </c>
      <c r="J576">
        <v>0.18</v>
      </c>
      <c r="L576" s="1">
        <v>43229</v>
      </c>
      <c r="M576" s="1">
        <v>43165</v>
      </c>
      <c r="N576" s="1"/>
      <c r="R576">
        <v>-1.6327159478224303E-4</v>
      </c>
      <c r="T576" t="s">
        <v>39</v>
      </c>
      <c r="V576">
        <v>33389055</v>
      </c>
      <c r="W576" t="s">
        <v>977</v>
      </c>
      <c r="X576" t="s">
        <v>978</v>
      </c>
      <c r="Y576">
        <v>33805750</v>
      </c>
      <c r="Z576" t="s">
        <v>31</v>
      </c>
      <c r="AA576">
        <v>-1.5441610488199544E-5</v>
      </c>
      <c r="AB576">
        <v>98.767384000000007</v>
      </c>
      <c r="AC576" t="s">
        <v>140</v>
      </c>
      <c r="AE576" t="s">
        <v>84</v>
      </c>
      <c r="AF576">
        <v>7.0199999999999999E-2</v>
      </c>
      <c r="AH576" t="s">
        <v>979</v>
      </c>
      <c r="AJ576">
        <v>2.2614757778811824E-4</v>
      </c>
      <c r="AK576">
        <v>2.2614757778811824E-4</v>
      </c>
      <c r="AL576">
        <v>0</v>
      </c>
      <c r="AN576" t="s">
        <v>155</v>
      </c>
      <c r="AQ576">
        <v>1.5875559960725899E-5</v>
      </c>
    </row>
    <row r="577" spans="1:43" x14ac:dyDescent="0.2">
      <c r="A577">
        <v>575</v>
      </c>
      <c r="B577">
        <v>152</v>
      </c>
      <c r="C577">
        <v>7</v>
      </c>
      <c r="D577">
        <v>1</v>
      </c>
      <c r="E577" t="s">
        <v>241</v>
      </c>
      <c r="F577" t="s">
        <v>49</v>
      </c>
      <c r="G577" t="s">
        <v>198</v>
      </c>
      <c r="H577">
        <v>1.649899870470004E-3</v>
      </c>
      <c r="I577">
        <v>-1.2849027037894522E-6</v>
      </c>
      <c r="J577">
        <v>0.62</v>
      </c>
      <c r="L577" s="1">
        <v>43391</v>
      </c>
      <c r="M577" s="1">
        <v>43165</v>
      </c>
      <c r="N577" s="1"/>
      <c r="R577">
        <v>-4.8284122606938751E-4</v>
      </c>
      <c r="T577" t="s">
        <v>39</v>
      </c>
      <c r="V577">
        <v>392896433</v>
      </c>
      <c r="W577" t="s">
        <v>242</v>
      </c>
      <c r="X577" t="s">
        <v>243</v>
      </c>
      <c r="Y577">
        <v>400000000</v>
      </c>
      <c r="Z577" t="s">
        <v>31</v>
      </c>
      <c r="AA577">
        <v>-5.3735372147087649E-4</v>
      </c>
      <c r="AB577">
        <v>98.224108000000001</v>
      </c>
      <c r="AC577" t="s">
        <v>48</v>
      </c>
      <c r="AE577" t="s">
        <v>41</v>
      </c>
      <c r="AF577">
        <v>2.8799999999999999E-2</v>
      </c>
      <c r="AH577" t="s">
        <v>200</v>
      </c>
      <c r="AJ577">
        <v>2.6611288233387162E-3</v>
      </c>
      <c r="AK577">
        <v>2.6611288233387162E-3</v>
      </c>
      <c r="AL577">
        <v>0</v>
      </c>
      <c r="AQ577">
        <v>7.6640510112155029E-5</v>
      </c>
    </row>
    <row r="578" spans="1:43" x14ac:dyDescent="0.2">
      <c r="A578">
        <v>576</v>
      </c>
      <c r="B578">
        <v>106</v>
      </c>
      <c r="C578">
        <v>7</v>
      </c>
      <c r="D578">
        <v>2000000000</v>
      </c>
      <c r="E578" t="s">
        <v>248</v>
      </c>
      <c r="F578" t="s">
        <v>49</v>
      </c>
      <c r="G578" t="s">
        <v>249</v>
      </c>
      <c r="H578">
        <v>3.2357802067414565E-2</v>
      </c>
      <c r="I578">
        <v>-2.1646540606265037E-6</v>
      </c>
      <c r="J578">
        <v>2.3199999999999998</v>
      </c>
      <c r="L578" s="1">
        <v>44096</v>
      </c>
      <c r="M578" s="1">
        <v>43165</v>
      </c>
      <c r="N578" s="1"/>
      <c r="R578">
        <v>-1.5520205637547968E-4</v>
      </c>
      <c r="T578" t="s">
        <v>39</v>
      </c>
      <c r="V578">
        <v>2059222222</v>
      </c>
      <c r="W578" t="s">
        <v>191</v>
      </c>
      <c r="X578" t="s">
        <v>250</v>
      </c>
      <c r="Y578">
        <v>2000000000</v>
      </c>
      <c r="Z578" t="s">
        <v>31</v>
      </c>
      <c r="AA578">
        <v>-9.0527081291386145E-4</v>
      </c>
      <c r="AB578">
        <v>100</v>
      </c>
      <c r="AC578" t="s">
        <v>42</v>
      </c>
      <c r="AE578" t="s">
        <v>41</v>
      </c>
      <c r="AF578">
        <v>0</v>
      </c>
      <c r="AH578" t="s">
        <v>244</v>
      </c>
      <c r="AJ578">
        <v>1.3947328477333865E-2</v>
      </c>
      <c r="AK578">
        <v>1.3947328477333865E-2</v>
      </c>
      <c r="AL578">
        <v>0</v>
      </c>
      <c r="AN578" t="s">
        <v>138</v>
      </c>
      <c r="AQ578">
        <v>0</v>
      </c>
    </row>
    <row r="579" spans="1:43" x14ac:dyDescent="0.2">
      <c r="A579">
        <v>577</v>
      </c>
      <c r="B579">
        <v>89</v>
      </c>
      <c r="C579">
        <v>7</v>
      </c>
      <c r="F579" t="s">
        <v>49</v>
      </c>
      <c r="G579" t="s">
        <v>1019</v>
      </c>
      <c r="I579">
        <v>1.0973200178890815E-4</v>
      </c>
      <c r="J579">
        <v>4.4577266641433004</v>
      </c>
      <c r="K579">
        <v>4.4577266641433004</v>
      </c>
      <c r="L579" s="1"/>
      <c r="M579" s="1"/>
      <c r="N579" s="1">
        <v>43164</v>
      </c>
      <c r="R579">
        <v>-4.4615847120025569E-3</v>
      </c>
      <c r="S579">
        <v>-4.4615847120025569E-3</v>
      </c>
      <c r="T579" t="s">
        <v>32</v>
      </c>
      <c r="U579" t="s">
        <v>32</v>
      </c>
      <c r="W579" t="s">
        <v>172</v>
      </c>
      <c r="Z579" t="s">
        <v>31</v>
      </c>
      <c r="AA579">
        <v>4.5890556033401281E-2</v>
      </c>
      <c r="AC579" t="s">
        <v>138</v>
      </c>
      <c r="AD579" t="s">
        <v>138</v>
      </c>
      <c r="AE579" t="s">
        <v>41</v>
      </c>
      <c r="AF579">
        <v>2.0099999999999998</v>
      </c>
      <c r="AG579">
        <v>2.0099999999999998</v>
      </c>
      <c r="AH579" t="s">
        <v>244</v>
      </c>
      <c r="AI579" t="s">
        <v>244</v>
      </c>
      <c r="AJ579">
        <v>-2.4594848887146997E-2</v>
      </c>
      <c r="AK579">
        <v>0</v>
      </c>
      <c r="AL579">
        <v>2.4594848887146997E-2</v>
      </c>
      <c r="AM579" t="s">
        <v>41</v>
      </c>
      <c r="AN579" t="s">
        <v>138</v>
      </c>
      <c r="AO579" t="s">
        <v>138</v>
      </c>
      <c r="AP579" t="s">
        <v>31</v>
      </c>
    </row>
    <row r="580" spans="1:43" x14ac:dyDescent="0.2">
      <c r="A580">
        <v>578</v>
      </c>
      <c r="B580">
        <v>91</v>
      </c>
      <c r="C580">
        <v>7</v>
      </c>
      <c r="D580">
        <v>20000</v>
      </c>
      <c r="E580" t="s">
        <v>325</v>
      </c>
      <c r="F580" t="s">
        <v>49</v>
      </c>
      <c r="G580" t="s">
        <v>882</v>
      </c>
      <c r="H580">
        <v>4.7179580913761274E-2</v>
      </c>
      <c r="I580">
        <v>-2.4587686431438471E-5</v>
      </c>
      <c r="J580">
        <v>10.11</v>
      </c>
      <c r="L580" s="1">
        <v>47969</v>
      </c>
      <c r="M580" s="1">
        <v>43165</v>
      </c>
      <c r="N580" s="1"/>
      <c r="R580">
        <v>-5.2688367511407258E-3</v>
      </c>
      <c r="T580" t="s">
        <v>32</v>
      </c>
      <c r="V580">
        <v>688993477</v>
      </c>
      <c r="W580" t="s">
        <v>172</v>
      </c>
      <c r="X580" t="s">
        <v>327</v>
      </c>
      <c r="Y580">
        <v>20000</v>
      </c>
      <c r="Z580" t="s">
        <v>31</v>
      </c>
      <c r="AA580">
        <v>-1.0282712276444426E-2</v>
      </c>
      <c r="AB580">
        <v>125.69</v>
      </c>
      <c r="AC580" t="s">
        <v>138</v>
      </c>
      <c r="AE580" t="s">
        <v>41</v>
      </c>
      <c r="AF580">
        <v>9.1014849139223281E-2</v>
      </c>
      <c r="AH580" t="s">
        <v>244</v>
      </c>
      <c r="AJ580">
        <v>4.6666252140218868E-3</v>
      </c>
      <c r="AK580">
        <v>4.6666252140218868E-3</v>
      </c>
      <c r="AL580">
        <v>0</v>
      </c>
      <c r="AN580" t="s">
        <v>142</v>
      </c>
      <c r="AQ580">
        <v>4.2473218984349757E-4</v>
      </c>
    </row>
    <row r="581" spans="1:43" x14ac:dyDescent="0.2">
      <c r="A581">
        <v>579</v>
      </c>
      <c r="B581">
        <v>91</v>
      </c>
      <c r="C581">
        <v>7</v>
      </c>
      <c r="D581">
        <v>20000</v>
      </c>
      <c r="E581" t="s">
        <v>325</v>
      </c>
      <c r="F581" t="s">
        <v>49</v>
      </c>
      <c r="G581" t="s">
        <v>883</v>
      </c>
      <c r="H581">
        <v>4.5977860535725959E-2</v>
      </c>
      <c r="I581">
        <v>-2.1212770694348143E-5</v>
      </c>
      <c r="J581">
        <v>11.42</v>
      </c>
      <c r="L581" s="1">
        <v>48366</v>
      </c>
      <c r="M581" s="1">
        <v>43165</v>
      </c>
      <c r="N581" s="1"/>
      <c r="R581">
        <v>-5.2688367511407258E-3</v>
      </c>
      <c r="T581" t="s">
        <v>32</v>
      </c>
      <c r="V581">
        <v>594421955</v>
      </c>
      <c r="W581" t="s">
        <v>172</v>
      </c>
      <c r="X581" t="s">
        <v>327</v>
      </c>
      <c r="Y581">
        <v>20000</v>
      </c>
      <c r="Z581" t="s">
        <v>31</v>
      </c>
      <c r="AA581">
        <v>-8.8713030501834447E-3</v>
      </c>
      <c r="AB581">
        <v>109.29</v>
      </c>
      <c r="AC581" t="s">
        <v>138</v>
      </c>
      <c r="AE581" t="s">
        <v>41</v>
      </c>
      <c r="AF581">
        <v>9.1914849139223292E-2</v>
      </c>
      <c r="AH581" t="s">
        <v>244</v>
      </c>
      <c r="AJ581">
        <v>4.0260823586450055E-3</v>
      </c>
      <c r="AK581">
        <v>4.0260823586450055E-3</v>
      </c>
      <c r="AL581">
        <v>0</v>
      </c>
      <c r="AN581" t="s">
        <v>142</v>
      </c>
      <c r="AQ581">
        <v>3.7005675261694398E-4</v>
      </c>
    </row>
    <row r="582" spans="1:43" x14ac:dyDescent="0.2">
      <c r="A582">
        <v>580</v>
      </c>
      <c r="B582">
        <v>102</v>
      </c>
      <c r="C582">
        <v>7</v>
      </c>
      <c r="D582">
        <v>30000</v>
      </c>
      <c r="E582" t="s">
        <v>403</v>
      </c>
      <c r="F582" t="s">
        <v>49</v>
      </c>
      <c r="G582" t="s">
        <v>804</v>
      </c>
      <c r="H582">
        <v>5.1224508170903189E-2</v>
      </c>
      <c r="I582">
        <v>-1.7628426464925414E-6</v>
      </c>
      <c r="J582">
        <v>8.5</v>
      </c>
      <c r="L582" s="1">
        <v>48366</v>
      </c>
      <c r="M582" s="1">
        <v>43165</v>
      </c>
      <c r="N582" s="1"/>
      <c r="R582">
        <v>-2.9251940194709343E-4</v>
      </c>
      <c r="T582" t="s">
        <v>32</v>
      </c>
      <c r="V582">
        <v>889756273</v>
      </c>
      <c r="W582" t="s">
        <v>197</v>
      </c>
      <c r="X582" t="s">
        <v>405</v>
      </c>
      <c r="Y582">
        <v>30000</v>
      </c>
      <c r="Z582" t="s">
        <v>31</v>
      </c>
      <c r="AA582">
        <v>-7.3723096205388498E-4</v>
      </c>
      <c r="AB582">
        <v>109.05</v>
      </c>
      <c r="AC582" t="s">
        <v>33</v>
      </c>
      <c r="AE582" t="s">
        <v>41</v>
      </c>
      <c r="AF582">
        <v>8.941484913922329E-2</v>
      </c>
      <c r="AH582" t="s">
        <v>244</v>
      </c>
      <c r="AJ582">
        <v>6.0264127259886105E-3</v>
      </c>
      <c r="AK582">
        <v>6.0264127259886105E-3</v>
      </c>
      <c r="AL582">
        <v>0</v>
      </c>
      <c r="AN582" t="s">
        <v>144</v>
      </c>
      <c r="AQ582">
        <v>5.3885078474496704E-4</v>
      </c>
    </row>
    <row r="583" spans="1:43" x14ac:dyDescent="0.2">
      <c r="A583">
        <v>581</v>
      </c>
      <c r="B583">
        <v>102</v>
      </c>
      <c r="C583">
        <v>7</v>
      </c>
      <c r="D583">
        <v>25000</v>
      </c>
      <c r="E583" t="s">
        <v>403</v>
      </c>
      <c r="F583" t="s">
        <v>49</v>
      </c>
      <c r="G583" t="s">
        <v>807</v>
      </c>
      <c r="H583">
        <v>2.2286441608984211E-2</v>
      </c>
      <c r="I583">
        <v>-1.0548894127813722E-6</v>
      </c>
      <c r="J583">
        <v>6.18</v>
      </c>
      <c r="L583" s="1">
        <v>47818</v>
      </c>
      <c r="M583" s="1">
        <v>43165</v>
      </c>
      <c r="N583" s="1"/>
      <c r="R583">
        <v>-2.9251940194709343E-4</v>
      </c>
      <c r="T583" t="s">
        <v>32</v>
      </c>
      <c r="V583">
        <v>532432361</v>
      </c>
      <c r="W583" t="s">
        <v>197</v>
      </c>
      <c r="X583" t="s">
        <v>806</v>
      </c>
      <c r="Y583">
        <v>25000</v>
      </c>
      <c r="Z583" t="s">
        <v>31</v>
      </c>
      <c r="AA583">
        <v>-4.4116083655714941E-4</v>
      </c>
      <c r="AB583">
        <v>114.14</v>
      </c>
      <c r="AC583" t="s">
        <v>34</v>
      </c>
      <c r="AE583" t="s">
        <v>41</v>
      </c>
      <c r="AF583">
        <v>8.7314849139223286E-2</v>
      </c>
      <c r="AH583" t="s">
        <v>244</v>
      </c>
      <c r="AJ583">
        <v>3.6062203250783512E-3</v>
      </c>
      <c r="AK583">
        <v>3.6062203250783512E-3</v>
      </c>
      <c r="AL583">
        <v>0</v>
      </c>
      <c r="AN583" t="s">
        <v>50</v>
      </c>
      <c r="AQ583">
        <v>3.1487658364701701E-4</v>
      </c>
    </row>
    <row r="584" spans="1:43" x14ac:dyDescent="0.2">
      <c r="A584">
        <v>582</v>
      </c>
      <c r="B584">
        <v>91</v>
      </c>
      <c r="C584">
        <v>7</v>
      </c>
      <c r="D584">
        <v>30000</v>
      </c>
      <c r="E584" t="s">
        <v>376</v>
      </c>
      <c r="F584" t="s">
        <v>49</v>
      </c>
      <c r="G584" t="s">
        <v>888</v>
      </c>
      <c r="H584">
        <v>4.6948436972007096E-2</v>
      </c>
      <c r="I584">
        <v>2.8726855044207633E-5</v>
      </c>
      <c r="J584">
        <v>7.65</v>
      </c>
      <c r="K584">
        <v>7.6514186459308</v>
      </c>
      <c r="L584" s="1">
        <v>46419</v>
      </c>
      <c r="M584" s="1">
        <v>43165</v>
      </c>
      <c r="N584" s="1">
        <v>43164</v>
      </c>
      <c r="R584">
        <v>-5.2688367511407258E-3</v>
      </c>
      <c r="S584">
        <v>-5.2688367511407258E-3</v>
      </c>
      <c r="T584" t="s">
        <v>32</v>
      </c>
      <c r="U584" t="s">
        <v>32</v>
      </c>
      <c r="V584">
        <v>906091153</v>
      </c>
      <c r="W584" t="s">
        <v>210</v>
      </c>
      <c r="X584" t="s">
        <v>889</v>
      </c>
      <c r="Y584">
        <v>30000</v>
      </c>
      <c r="Z584" t="s">
        <v>31</v>
      </c>
      <c r="AA584">
        <v>1.2013736463184264E-2</v>
      </c>
      <c r="AB584">
        <v>111.65</v>
      </c>
      <c r="AC584" t="s">
        <v>138</v>
      </c>
      <c r="AD584" t="s">
        <v>138</v>
      </c>
      <c r="AE584" t="s">
        <v>41</v>
      </c>
      <c r="AF584">
        <v>9.0414849139223291E-2</v>
      </c>
      <c r="AG584">
        <v>2.5299999999999998</v>
      </c>
      <c r="AH584" t="s">
        <v>244</v>
      </c>
      <c r="AI584" t="s">
        <v>244</v>
      </c>
      <c r="AJ584">
        <v>-5.4522196076749099E-3</v>
      </c>
      <c r="AK584">
        <v>6.1370505845760905E-3</v>
      </c>
      <c r="AL584">
        <v>1.1589270192251E-2</v>
      </c>
      <c r="AM584" t="s">
        <v>41</v>
      </c>
      <c r="AN584" t="s">
        <v>142</v>
      </c>
      <c r="AO584" t="s">
        <v>138</v>
      </c>
      <c r="AP584" t="s">
        <v>31</v>
      </c>
      <c r="AQ584">
        <v>5.5488050276422934E-4</v>
      </c>
    </row>
    <row r="585" spans="1:43" x14ac:dyDescent="0.2">
      <c r="A585">
        <v>583</v>
      </c>
      <c r="B585">
        <v>91</v>
      </c>
      <c r="C585">
        <v>7</v>
      </c>
      <c r="F585" t="s">
        <v>49</v>
      </c>
      <c r="G585" t="s">
        <v>1045</v>
      </c>
      <c r="I585">
        <v>7.4748947891625743E-5</v>
      </c>
      <c r="J585">
        <v>14.153503968642999</v>
      </c>
      <c r="K585">
        <v>14.153503968642999</v>
      </c>
      <c r="L585" s="1"/>
      <c r="M585" s="1"/>
      <c r="N585" s="1">
        <v>43164</v>
      </c>
      <c r="R585">
        <v>-5.2688367511407258E-3</v>
      </c>
      <c r="S585">
        <v>-5.2688367511407258E-3</v>
      </c>
      <c r="T585" t="s">
        <v>32</v>
      </c>
      <c r="U585" t="s">
        <v>32</v>
      </c>
      <c r="W585" t="s">
        <v>210</v>
      </c>
      <c r="Z585" t="s">
        <v>31</v>
      </c>
      <c r="AA585">
        <v>3.1260441126894488E-2</v>
      </c>
      <c r="AC585" t="s">
        <v>138</v>
      </c>
      <c r="AD585" t="s">
        <v>138</v>
      </c>
      <c r="AE585" t="s">
        <v>41</v>
      </c>
      <c r="AF585">
        <v>2.83</v>
      </c>
      <c r="AG585">
        <v>2.83</v>
      </c>
      <c r="AH585" t="s">
        <v>244</v>
      </c>
      <c r="AI585" t="s">
        <v>244</v>
      </c>
      <c r="AJ585">
        <v>-1.4186992579613001E-2</v>
      </c>
      <c r="AK585">
        <v>0</v>
      </c>
      <c r="AL585">
        <v>1.4186992579613001E-2</v>
      </c>
      <c r="AM585" t="s">
        <v>41</v>
      </c>
      <c r="AN585" t="s">
        <v>138</v>
      </c>
      <c r="AO585" t="s">
        <v>138</v>
      </c>
      <c r="AP585" t="s">
        <v>31</v>
      </c>
    </row>
    <row r="586" spans="1:43" x14ac:dyDescent="0.2">
      <c r="A586">
        <v>584</v>
      </c>
      <c r="B586">
        <v>91</v>
      </c>
      <c r="C586">
        <v>7</v>
      </c>
      <c r="F586" t="s">
        <v>49</v>
      </c>
      <c r="G586" t="s">
        <v>1046</v>
      </c>
      <c r="I586">
        <v>7.7546640019447534E-5</v>
      </c>
      <c r="J586">
        <v>14.943218714475</v>
      </c>
      <c r="K586">
        <v>14.943218714475</v>
      </c>
      <c r="L586" s="1"/>
      <c r="M586" s="1"/>
      <c r="N586" s="1">
        <v>43164</v>
      </c>
      <c r="R586">
        <v>-5.2688367511407258E-3</v>
      </c>
      <c r="S586">
        <v>-5.2688367511407258E-3</v>
      </c>
      <c r="T586" t="s">
        <v>32</v>
      </c>
      <c r="U586" t="s">
        <v>32</v>
      </c>
      <c r="AA586">
        <v>3.2430452110590854E-2</v>
      </c>
      <c r="AC586" t="s">
        <v>138</v>
      </c>
      <c r="AD586" t="s">
        <v>138</v>
      </c>
      <c r="AF586">
        <v>2.89</v>
      </c>
      <c r="AG586">
        <v>2.89</v>
      </c>
      <c r="AH586" t="s">
        <v>244</v>
      </c>
      <c r="AI586" t="s">
        <v>244</v>
      </c>
      <c r="AJ586">
        <v>-1.4717981156402E-2</v>
      </c>
      <c r="AK586">
        <v>0</v>
      </c>
      <c r="AL586">
        <v>1.4717981156402E-2</v>
      </c>
      <c r="AN586" t="s">
        <v>138</v>
      </c>
      <c r="AO586" t="s">
        <v>138</v>
      </c>
    </row>
    <row r="587" spans="1:43" x14ac:dyDescent="0.2">
      <c r="A587">
        <v>585</v>
      </c>
      <c r="B587">
        <v>91</v>
      </c>
      <c r="C587">
        <v>7</v>
      </c>
      <c r="D587">
        <v>45000</v>
      </c>
      <c r="E587" t="s">
        <v>329</v>
      </c>
      <c r="F587" t="s">
        <v>49</v>
      </c>
      <c r="G587" t="s">
        <v>884</v>
      </c>
      <c r="H587">
        <v>9.9664724743897717E-2</v>
      </c>
      <c r="I587">
        <v>6.0496673417381589E-5</v>
      </c>
      <c r="J587">
        <v>10.7</v>
      </c>
      <c r="K587">
        <v>10.703245656504</v>
      </c>
      <c r="L587" s="1">
        <v>48136</v>
      </c>
      <c r="M587" s="1">
        <v>43165</v>
      </c>
      <c r="N587" s="1">
        <v>43164</v>
      </c>
      <c r="R587">
        <v>-5.2688367511407258E-3</v>
      </c>
      <c r="S587">
        <v>-5.2688367511407258E-3</v>
      </c>
      <c r="T587" t="s">
        <v>32</v>
      </c>
      <c r="U587" t="s">
        <v>32</v>
      </c>
      <c r="V587">
        <v>1375212721</v>
      </c>
      <c r="W587" t="s">
        <v>209</v>
      </c>
      <c r="X587" t="s">
        <v>885</v>
      </c>
      <c r="Y587">
        <v>45000</v>
      </c>
      <c r="Z587" t="s">
        <v>31</v>
      </c>
      <c r="AA587">
        <v>2.5300057740998506E-2</v>
      </c>
      <c r="AB587">
        <v>111.67</v>
      </c>
      <c r="AC587" t="s">
        <v>138</v>
      </c>
      <c r="AD587" t="s">
        <v>138</v>
      </c>
      <c r="AE587" t="s">
        <v>41</v>
      </c>
      <c r="AF587">
        <v>9.4214849139223289E-2</v>
      </c>
      <c r="AG587">
        <v>2.92</v>
      </c>
      <c r="AH587" t="s">
        <v>244</v>
      </c>
      <c r="AI587" t="s">
        <v>244</v>
      </c>
      <c r="AJ587">
        <v>-1.1481979092307956E-2</v>
      </c>
      <c r="AK587">
        <v>9.3144602564390402E-3</v>
      </c>
      <c r="AL587">
        <v>2.0796439348746996E-2</v>
      </c>
      <c r="AM587" t="s">
        <v>41</v>
      </c>
      <c r="AN587" t="s">
        <v>142</v>
      </c>
      <c r="AO587" t="s">
        <v>138</v>
      </c>
      <c r="AP587" t="s">
        <v>31</v>
      </c>
      <c r="AQ587">
        <v>8.7756046787369529E-4</v>
      </c>
    </row>
    <row r="588" spans="1:43" x14ac:dyDescent="0.2">
      <c r="A588">
        <v>586</v>
      </c>
      <c r="B588">
        <v>91</v>
      </c>
      <c r="C588">
        <v>7</v>
      </c>
      <c r="D588">
        <v>12000</v>
      </c>
      <c r="E588" t="s">
        <v>329</v>
      </c>
      <c r="F588" t="s">
        <v>49</v>
      </c>
      <c r="G588" t="s">
        <v>886</v>
      </c>
      <c r="H588">
        <v>3.8276381684805731E-2</v>
      </c>
      <c r="I588">
        <v>-1.3617286058176516E-5</v>
      </c>
      <c r="J588">
        <v>14.81</v>
      </c>
      <c r="L588" s="1">
        <v>50861</v>
      </c>
      <c r="M588" s="1">
        <v>43165</v>
      </c>
      <c r="N588" s="1"/>
      <c r="R588">
        <v>-5.2688367511407258E-3</v>
      </c>
      <c r="T588" t="s">
        <v>32</v>
      </c>
      <c r="V588">
        <v>381582110</v>
      </c>
      <c r="W588" t="s">
        <v>209</v>
      </c>
      <c r="X588" t="s">
        <v>885</v>
      </c>
      <c r="Y588">
        <v>12000</v>
      </c>
      <c r="Z588" t="s">
        <v>31</v>
      </c>
      <c r="AA588">
        <v>-5.6948275679663185E-3</v>
      </c>
      <c r="AB588">
        <v>116.01</v>
      </c>
      <c r="AC588" t="s">
        <v>138</v>
      </c>
      <c r="AE588" t="s">
        <v>41</v>
      </c>
      <c r="AF588">
        <v>9.4414849139223281E-2</v>
      </c>
      <c r="AH588" t="s">
        <v>244</v>
      </c>
      <c r="AJ588">
        <v>2.5844957248349581E-3</v>
      </c>
      <c r="AK588">
        <v>2.5844957248349581E-3</v>
      </c>
      <c r="AL588">
        <v>0</v>
      </c>
      <c r="AN588" t="s">
        <v>142</v>
      </c>
      <c r="AQ588">
        <v>2.440147739612601E-4</v>
      </c>
    </row>
    <row r="589" spans="1:43" x14ac:dyDescent="0.2">
      <c r="A589">
        <v>587</v>
      </c>
      <c r="B589">
        <v>91</v>
      </c>
      <c r="C589">
        <v>7</v>
      </c>
      <c r="D589">
        <v>50000</v>
      </c>
      <c r="E589" t="s">
        <v>329</v>
      </c>
      <c r="F589" t="s">
        <v>49</v>
      </c>
      <c r="G589" t="s">
        <v>887</v>
      </c>
      <c r="H589">
        <v>0.16016815728180436</v>
      </c>
      <c r="I589">
        <v>-5.5192928283117003E-5</v>
      </c>
      <c r="J589">
        <v>15.29</v>
      </c>
      <c r="L589" s="1">
        <v>51075</v>
      </c>
      <c r="M589" s="1">
        <v>43165</v>
      </c>
      <c r="N589" s="1"/>
      <c r="R589">
        <v>-5.2688367511407258E-3</v>
      </c>
      <c r="T589" t="s">
        <v>32</v>
      </c>
      <c r="V589">
        <v>1546610238</v>
      </c>
      <c r="W589" t="s">
        <v>209</v>
      </c>
      <c r="X589" t="s">
        <v>885</v>
      </c>
      <c r="Y589">
        <v>50000</v>
      </c>
      <c r="Z589" t="s">
        <v>31</v>
      </c>
      <c r="AA589">
        <v>-2.3082000936210947E-2</v>
      </c>
      <c r="AB589">
        <v>113.31</v>
      </c>
      <c r="AC589" t="s">
        <v>138</v>
      </c>
      <c r="AE589" t="s">
        <v>41</v>
      </c>
      <c r="AF589">
        <v>9.4414849139223281E-2</v>
      </c>
      <c r="AH589" t="s">
        <v>244</v>
      </c>
      <c r="AJ589">
        <v>1.0475353648254047E-2</v>
      </c>
      <c r="AK589">
        <v>1.0475353648254047E-2</v>
      </c>
      <c r="AL589">
        <v>0</v>
      </c>
      <c r="AN589" t="s">
        <v>142</v>
      </c>
      <c r="AQ589">
        <v>9.8902893437991814E-4</v>
      </c>
    </row>
    <row r="590" spans="1:43" x14ac:dyDescent="0.2">
      <c r="A590">
        <v>588</v>
      </c>
      <c r="B590">
        <v>91</v>
      </c>
      <c r="C590">
        <v>7</v>
      </c>
      <c r="F590" t="s">
        <v>49</v>
      </c>
      <c r="G590" t="s">
        <v>1069</v>
      </c>
      <c r="I590">
        <v>6.9196287053752695E-5</v>
      </c>
      <c r="J590">
        <v>16.52587750667</v>
      </c>
      <c r="K590">
        <v>16.52587750667</v>
      </c>
      <c r="L590" s="1"/>
      <c r="M590" s="1"/>
      <c r="N590" s="1">
        <v>43164</v>
      </c>
      <c r="R590">
        <v>-5.2688367511407258E-3</v>
      </c>
      <c r="S590">
        <v>-5.2688367511407258E-3</v>
      </c>
      <c r="T590" t="s">
        <v>32</v>
      </c>
      <c r="U590" t="s">
        <v>32</v>
      </c>
      <c r="AA590">
        <v>2.8938286339223029E-2</v>
      </c>
      <c r="AC590" t="s">
        <v>138</v>
      </c>
      <c r="AD590" t="s">
        <v>138</v>
      </c>
      <c r="AF590">
        <v>2.98</v>
      </c>
      <c r="AG590">
        <v>2.98</v>
      </c>
      <c r="AH590" t="s">
        <v>244</v>
      </c>
      <c r="AI590" t="s">
        <v>244</v>
      </c>
      <c r="AJ590">
        <v>-1.3133124126264E-2</v>
      </c>
      <c r="AK590">
        <v>0</v>
      </c>
      <c r="AL590">
        <v>1.3133124126264E-2</v>
      </c>
      <c r="AN590" t="s">
        <v>138</v>
      </c>
      <c r="AO590" t="s">
        <v>138</v>
      </c>
    </row>
    <row r="591" spans="1:43" x14ac:dyDescent="0.2">
      <c r="A591">
        <v>589</v>
      </c>
      <c r="B591">
        <v>102</v>
      </c>
      <c r="C591">
        <v>7</v>
      </c>
      <c r="D591">
        <v>60000</v>
      </c>
      <c r="E591" t="s">
        <v>332</v>
      </c>
      <c r="F591" t="s">
        <v>49</v>
      </c>
      <c r="G591" t="s">
        <v>926</v>
      </c>
      <c r="H591">
        <v>0.15642028474847272</v>
      </c>
      <c r="I591">
        <v>-3.9343050857280565E-6</v>
      </c>
      <c r="J591">
        <v>11.63</v>
      </c>
      <c r="L591" s="1">
        <v>48792</v>
      </c>
      <c r="M591" s="1">
        <v>43165</v>
      </c>
      <c r="N591" s="1"/>
      <c r="R591">
        <v>-2.9251940194709343E-4</v>
      </c>
      <c r="T591" t="s">
        <v>32</v>
      </c>
      <c r="V591">
        <v>1985754450</v>
      </c>
      <c r="W591" t="s">
        <v>276</v>
      </c>
      <c r="X591" t="s">
        <v>927</v>
      </c>
      <c r="Y591">
        <v>60000</v>
      </c>
      <c r="Z591" t="s">
        <v>31</v>
      </c>
      <c r="AA591">
        <v>-1.6453490781697284E-3</v>
      </c>
      <c r="AB591">
        <v>122.29</v>
      </c>
      <c r="AC591" t="s">
        <v>34</v>
      </c>
      <c r="AE591" t="s">
        <v>41</v>
      </c>
      <c r="AF591">
        <v>9.3214849139223288E-2</v>
      </c>
      <c r="AH591" t="s">
        <v>244</v>
      </c>
      <c r="AJ591">
        <v>1.3449723538131789E-2</v>
      </c>
      <c r="AK591">
        <v>1.3449723538131789E-2</v>
      </c>
      <c r="AL591">
        <v>0</v>
      </c>
      <c r="AN591" t="s">
        <v>50</v>
      </c>
      <c r="AQ591">
        <v>1.2537139505712153E-3</v>
      </c>
    </row>
    <row r="592" spans="1:43" x14ac:dyDescent="0.2">
      <c r="A592">
        <v>590</v>
      </c>
      <c r="B592">
        <v>102</v>
      </c>
      <c r="C592">
        <v>7</v>
      </c>
      <c r="D592">
        <v>20000</v>
      </c>
      <c r="E592" t="s">
        <v>332</v>
      </c>
      <c r="F592" t="s">
        <v>49</v>
      </c>
      <c r="G592" t="s">
        <v>928</v>
      </c>
      <c r="H592">
        <v>5.4723182365132912E-2</v>
      </c>
      <c r="I592">
        <v>-1.2361075349876765E-6</v>
      </c>
      <c r="J592">
        <v>12.95</v>
      </c>
      <c r="L592" s="1">
        <v>49491</v>
      </c>
      <c r="M592" s="1">
        <v>43165</v>
      </c>
      <c r="N592" s="1"/>
      <c r="R592">
        <v>-2.9251940194709343E-4</v>
      </c>
      <c r="T592" t="s">
        <v>32</v>
      </c>
      <c r="V592">
        <v>623898245</v>
      </c>
      <c r="W592" t="s">
        <v>276</v>
      </c>
      <c r="X592" t="s">
        <v>927</v>
      </c>
      <c r="Y592">
        <v>20000</v>
      </c>
      <c r="Z592" t="s">
        <v>31</v>
      </c>
      <c r="AA592">
        <v>-5.1694730044918769E-4</v>
      </c>
      <c r="AB592">
        <v>114.93</v>
      </c>
      <c r="AC592" t="s">
        <v>34</v>
      </c>
      <c r="AE592" t="s">
        <v>41</v>
      </c>
      <c r="AF592">
        <v>9.4114849139223286E-2</v>
      </c>
      <c r="AH592" t="s">
        <v>244</v>
      </c>
      <c r="AJ592">
        <v>4.2257283679639317E-3</v>
      </c>
      <c r="AK592">
        <v>4.2257283679639317E-3</v>
      </c>
      <c r="AL592">
        <v>0</v>
      </c>
      <c r="AN592" t="s">
        <v>50</v>
      </c>
      <c r="AQ592">
        <v>3.9770378785426166E-4</v>
      </c>
    </row>
    <row r="593" spans="1:43" x14ac:dyDescent="0.2">
      <c r="A593">
        <v>591</v>
      </c>
      <c r="B593">
        <v>102</v>
      </c>
      <c r="C593">
        <v>7</v>
      </c>
      <c r="D593">
        <v>20000</v>
      </c>
      <c r="E593" t="s">
        <v>332</v>
      </c>
      <c r="F593" t="s">
        <v>49</v>
      </c>
      <c r="G593" t="s">
        <v>929</v>
      </c>
      <c r="H593">
        <v>5.7104247343022593E-2</v>
      </c>
      <c r="I593">
        <v>-1.2382579897271956E-6</v>
      </c>
      <c r="J593">
        <v>13.49</v>
      </c>
      <c r="L593" s="1">
        <v>49857</v>
      </c>
      <c r="M593" s="1">
        <v>43165</v>
      </c>
      <c r="N593" s="1"/>
      <c r="R593">
        <v>-2.9251940194709343E-4</v>
      </c>
      <c r="T593" t="s">
        <v>32</v>
      </c>
      <c r="V593">
        <v>624983640</v>
      </c>
      <c r="W593" t="s">
        <v>276</v>
      </c>
      <c r="X593" t="s">
        <v>927</v>
      </c>
      <c r="Y593">
        <v>20000</v>
      </c>
      <c r="Z593" t="s">
        <v>31</v>
      </c>
      <c r="AA593">
        <v>-5.178466330241191E-4</v>
      </c>
      <c r="AB593">
        <v>115.13</v>
      </c>
      <c r="AC593" t="s">
        <v>34</v>
      </c>
      <c r="AE593" t="s">
        <v>41</v>
      </c>
      <c r="AF593">
        <v>9.4414849139223281E-2</v>
      </c>
      <c r="AH593" t="s">
        <v>244</v>
      </c>
      <c r="AJ593">
        <v>4.2330798623441508E-3</v>
      </c>
      <c r="AK593">
        <v>4.2330798623441508E-3</v>
      </c>
      <c r="AL593">
        <v>0</v>
      </c>
      <c r="AN593" t="s">
        <v>50</v>
      </c>
      <c r="AQ593">
        <v>3.9966559659750702E-4</v>
      </c>
    </row>
    <row r="594" spans="1:43" x14ac:dyDescent="0.2">
      <c r="A594">
        <v>592</v>
      </c>
      <c r="B594">
        <v>90</v>
      </c>
      <c r="C594">
        <v>7</v>
      </c>
      <c r="D594">
        <v>65000</v>
      </c>
      <c r="E594" t="s">
        <v>245</v>
      </c>
      <c r="F594" t="s">
        <v>49</v>
      </c>
      <c r="G594" t="s">
        <v>818</v>
      </c>
      <c r="H594">
        <v>5.3535307721084967E-2</v>
      </c>
      <c r="I594">
        <v>4.659547234590875E-6</v>
      </c>
      <c r="J594">
        <v>5.09</v>
      </c>
      <c r="K594">
        <v>5.1001917061166004</v>
      </c>
      <c r="L594" s="1">
        <v>46919</v>
      </c>
      <c r="M594" s="1">
        <v>43165</v>
      </c>
      <c r="N594" s="1">
        <v>43164</v>
      </c>
      <c r="R594">
        <v>-5.8996608898484774E-4</v>
      </c>
      <c r="S594">
        <v>-5.8996608898484774E-4</v>
      </c>
      <c r="T594" t="s">
        <v>32</v>
      </c>
      <c r="U594" t="s">
        <v>32</v>
      </c>
      <c r="V594">
        <v>1552868599</v>
      </c>
      <c r="W594" t="s">
        <v>201</v>
      </c>
      <c r="X594" t="s">
        <v>819</v>
      </c>
      <c r="Y594">
        <v>65000</v>
      </c>
      <c r="Z594" t="s">
        <v>31</v>
      </c>
      <c r="AA594">
        <v>1.9486495276976408E-3</v>
      </c>
      <c r="AB594">
        <v>109.98</v>
      </c>
      <c r="AC594" t="s">
        <v>138</v>
      </c>
      <c r="AD594" t="s">
        <v>138</v>
      </c>
      <c r="AE594" t="s">
        <v>41</v>
      </c>
      <c r="AF594">
        <v>8.5414849139223287E-2</v>
      </c>
      <c r="AG594">
        <v>2.02</v>
      </c>
      <c r="AH594" t="s">
        <v>244</v>
      </c>
      <c r="AI594" t="s">
        <v>244</v>
      </c>
      <c r="AJ594">
        <v>-7.8979916330590098E-3</v>
      </c>
      <c r="AK594">
        <v>1.0517742184888991E-2</v>
      </c>
      <c r="AL594">
        <v>1.8415733817948001E-2</v>
      </c>
      <c r="AM594" t="s">
        <v>41</v>
      </c>
      <c r="AN594" t="s">
        <v>142</v>
      </c>
      <c r="AO594" t="s">
        <v>138</v>
      </c>
      <c r="AP594" t="s">
        <v>31</v>
      </c>
      <c r="AQ594">
        <v>8.983713620075379E-4</v>
      </c>
    </row>
    <row r="595" spans="1:43" x14ac:dyDescent="0.2">
      <c r="A595">
        <v>593</v>
      </c>
      <c r="B595">
        <v>90</v>
      </c>
      <c r="C595">
        <v>7</v>
      </c>
      <c r="D595">
        <v>30000</v>
      </c>
      <c r="E595" t="s">
        <v>699</v>
      </c>
      <c r="F595" t="s">
        <v>49</v>
      </c>
      <c r="G595" t="s">
        <v>872</v>
      </c>
      <c r="H595">
        <v>4.1547857921745958E-2</v>
      </c>
      <c r="I595">
        <v>-3.7195488989060075E-6</v>
      </c>
      <c r="J595">
        <v>6.59</v>
      </c>
      <c r="L595" s="1">
        <v>47922</v>
      </c>
      <c r="M595" s="1">
        <v>43165</v>
      </c>
      <c r="N595" s="1"/>
      <c r="R595">
        <v>-5.8996608898484774E-4</v>
      </c>
      <c r="T595" t="s">
        <v>32</v>
      </c>
      <c r="V595">
        <v>930840799</v>
      </c>
      <c r="W595" t="s">
        <v>202</v>
      </c>
      <c r="X595" t="s">
        <v>701</v>
      </c>
      <c r="Y595">
        <v>30000</v>
      </c>
      <c r="Z595" t="s">
        <v>31</v>
      </c>
      <c r="AA595">
        <v>-1.5555368022227764E-3</v>
      </c>
      <c r="AB595">
        <v>112.75</v>
      </c>
      <c r="AC595" t="s">
        <v>51</v>
      </c>
      <c r="AE595" t="s">
        <v>41</v>
      </c>
      <c r="AF595">
        <v>9.0814849139223289E-2</v>
      </c>
      <c r="AH595" t="s">
        <v>244</v>
      </c>
      <c r="AJ595">
        <v>6.3046825374424827E-3</v>
      </c>
      <c r="AK595">
        <v>6.3046825374424827E-3</v>
      </c>
      <c r="AL595">
        <v>0</v>
      </c>
      <c r="AN595" t="s">
        <v>145</v>
      </c>
      <c r="AQ595">
        <v>5.7255879350853452E-4</v>
      </c>
    </row>
    <row r="596" spans="1:43" x14ac:dyDescent="0.2">
      <c r="A596">
        <v>594</v>
      </c>
      <c r="B596">
        <v>91</v>
      </c>
      <c r="C596">
        <v>7</v>
      </c>
      <c r="D596">
        <v>50000</v>
      </c>
      <c r="E596" t="s">
        <v>699</v>
      </c>
      <c r="F596" t="s">
        <v>49</v>
      </c>
      <c r="G596" t="s">
        <v>890</v>
      </c>
      <c r="H596">
        <v>7.4436472302503609E-2</v>
      </c>
      <c r="I596">
        <v>-5.3214873933880561E-5</v>
      </c>
      <c r="J596">
        <v>7.37</v>
      </c>
      <c r="L596" s="1">
        <v>48228</v>
      </c>
      <c r="M596" s="1">
        <v>43165</v>
      </c>
      <c r="N596" s="1"/>
      <c r="R596">
        <v>-5.2688367511407258E-3</v>
      </c>
      <c r="T596" t="s">
        <v>32</v>
      </c>
      <c r="V596">
        <v>1491181414</v>
      </c>
      <c r="W596" t="s">
        <v>202</v>
      </c>
      <c r="X596" t="s">
        <v>701</v>
      </c>
      <c r="Y596">
        <v>50000</v>
      </c>
      <c r="Z596" t="s">
        <v>31</v>
      </c>
      <c r="AA596">
        <v>-2.2254767198824379E-2</v>
      </c>
      <c r="AB596">
        <v>110.05</v>
      </c>
      <c r="AC596" t="s">
        <v>51</v>
      </c>
      <c r="AE596" t="s">
        <v>41</v>
      </c>
      <c r="AF596">
        <v>9.1414849139223292E-2</v>
      </c>
      <c r="AH596" t="s">
        <v>244</v>
      </c>
      <c r="AJ596">
        <v>1.0099928399254221E-2</v>
      </c>
      <c r="AK596">
        <v>1.0099928399254221E-2</v>
      </c>
      <c r="AL596">
        <v>0</v>
      </c>
      <c r="AN596" t="s">
        <v>145</v>
      </c>
      <c r="AQ596">
        <v>9.2328343093478157E-4</v>
      </c>
    </row>
    <row r="597" spans="1:43" x14ac:dyDescent="0.2">
      <c r="A597">
        <v>595</v>
      </c>
      <c r="B597">
        <v>89</v>
      </c>
      <c r="C597">
        <v>7</v>
      </c>
      <c r="D597">
        <v>15000</v>
      </c>
      <c r="E597" t="s">
        <v>335</v>
      </c>
      <c r="F597" t="s">
        <v>49</v>
      </c>
      <c r="G597" t="s">
        <v>849</v>
      </c>
      <c r="H597">
        <v>1.0554422644350287E-2</v>
      </c>
      <c r="I597">
        <v>-1.0083394157183478E-5</v>
      </c>
      <c r="J597">
        <v>4.67</v>
      </c>
      <c r="L597" s="1">
        <v>46874</v>
      </c>
      <c r="M597" s="1">
        <v>43165</v>
      </c>
      <c r="N597" s="1"/>
      <c r="R597">
        <v>-4.4615847120025569E-3</v>
      </c>
      <c r="T597" t="s">
        <v>32</v>
      </c>
      <c r="V597">
        <v>333679701</v>
      </c>
      <c r="W597" t="s">
        <v>286</v>
      </c>
      <c r="X597" t="s">
        <v>337</v>
      </c>
      <c r="Y597">
        <v>15000</v>
      </c>
      <c r="Z597" t="s">
        <v>31</v>
      </c>
      <c r="AA597">
        <v>-4.216933593057564E-3</v>
      </c>
      <c r="AB597">
        <v>108.57</v>
      </c>
      <c r="AC597" t="s">
        <v>51</v>
      </c>
      <c r="AE597" t="s">
        <v>41</v>
      </c>
      <c r="AF597">
        <v>8.6514849139223277E-2</v>
      </c>
      <c r="AH597" t="s">
        <v>244</v>
      </c>
      <c r="AJ597">
        <v>2.2600476754497402E-3</v>
      </c>
      <c r="AK597">
        <v>2.2600476754497402E-3</v>
      </c>
      <c r="AL597">
        <v>0</v>
      </c>
      <c r="AN597" t="s">
        <v>145</v>
      </c>
      <c r="AQ597">
        <v>1.9552768368898653E-4</v>
      </c>
    </row>
    <row r="598" spans="1:43" x14ac:dyDescent="0.2">
      <c r="A598">
        <v>596</v>
      </c>
      <c r="B598">
        <v>90</v>
      </c>
      <c r="C598">
        <v>7</v>
      </c>
      <c r="D598">
        <v>55000</v>
      </c>
      <c r="E598" t="s">
        <v>335</v>
      </c>
      <c r="F598" t="s">
        <v>49</v>
      </c>
      <c r="G598" t="s">
        <v>873</v>
      </c>
      <c r="H598">
        <v>6.5607479016235135E-2</v>
      </c>
      <c r="I598">
        <v>5.959257836088768E-6</v>
      </c>
      <c r="J598">
        <v>6.6</v>
      </c>
      <c r="K598">
        <v>6.6097993683927001</v>
      </c>
      <c r="L598" s="1">
        <v>48183</v>
      </c>
      <c r="M598" s="1">
        <v>43165</v>
      </c>
      <c r="N598" s="1">
        <v>43164</v>
      </c>
      <c r="R598">
        <v>-5.8996608898484774E-4</v>
      </c>
      <c r="S598">
        <v>-5.8996608898484774E-4</v>
      </c>
      <c r="T598" t="s">
        <v>32</v>
      </c>
      <c r="U598" t="s">
        <v>32</v>
      </c>
      <c r="V598">
        <v>1467646968</v>
      </c>
      <c r="W598" t="s">
        <v>286</v>
      </c>
      <c r="X598" t="s">
        <v>874</v>
      </c>
      <c r="Y598">
        <v>55000</v>
      </c>
      <c r="Z598" t="s">
        <v>31</v>
      </c>
      <c r="AA598">
        <v>2.4921959973955416E-3</v>
      </c>
      <c r="AB598">
        <v>103.83</v>
      </c>
      <c r="AC598" t="s">
        <v>51</v>
      </c>
      <c r="AD598" t="s">
        <v>51</v>
      </c>
      <c r="AE598" t="s">
        <v>41</v>
      </c>
      <c r="AF598">
        <v>8.9114849139223282E-2</v>
      </c>
      <c r="AG598">
        <v>2.4</v>
      </c>
      <c r="AH598" t="s">
        <v>244</v>
      </c>
      <c r="AI598" t="s">
        <v>244</v>
      </c>
      <c r="AJ598">
        <v>-1.010101757940501E-2</v>
      </c>
      <c r="AK598">
        <v>9.9405271236719904E-3</v>
      </c>
      <c r="AL598">
        <v>2.0041544703077001E-2</v>
      </c>
      <c r="AM598" t="s">
        <v>41</v>
      </c>
      <c r="AN598" t="s">
        <v>145</v>
      </c>
      <c r="AO598" t="s">
        <v>51</v>
      </c>
      <c r="AP598" t="s">
        <v>31</v>
      </c>
      <c r="AQ598">
        <v>8.8584857499038653E-4</v>
      </c>
    </row>
    <row r="599" spans="1:43" x14ac:dyDescent="0.2">
      <c r="A599">
        <v>597</v>
      </c>
      <c r="B599">
        <v>91</v>
      </c>
      <c r="C599">
        <v>7</v>
      </c>
      <c r="D599">
        <v>34500</v>
      </c>
      <c r="E599" t="s">
        <v>335</v>
      </c>
      <c r="F599" t="s">
        <v>49</v>
      </c>
      <c r="G599" t="s">
        <v>891</v>
      </c>
      <c r="H599">
        <v>8.2443243257928067E-2</v>
      </c>
      <c r="I599">
        <v>-3.7706596350747072E-5</v>
      </c>
      <c r="J599">
        <v>11.52</v>
      </c>
      <c r="L599" s="1">
        <v>50100</v>
      </c>
      <c r="M599" s="1">
        <v>43165</v>
      </c>
      <c r="N599" s="1"/>
      <c r="R599">
        <v>-5.2688367511407258E-3</v>
      </c>
      <c r="T599" t="s">
        <v>32</v>
      </c>
      <c r="V599">
        <v>1056610145</v>
      </c>
      <c r="W599" t="s">
        <v>286</v>
      </c>
      <c r="X599" t="s">
        <v>874</v>
      </c>
      <c r="Y599">
        <v>34500</v>
      </c>
      <c r="Z599" t="s">
        <v>31</v>
      </c>
      <c r="AA599">
        <v>-1.5769116068724734E-2</v>
      </c>
      <c r="AB599">
        <v>113.56</v>
      </c>
      <c r="AC599" t="s">
        <v>51</v>
      </c>
      <c r="AE599" t="s">
        <v>41</v>
      </c>
      <c r="AF599">
        <v>9.3414849139223294E-2</v>
      </c>
      <c r="AH599" t="s">
        <v>244</v>
      </c>
      <c r="AJ599">
        <v>7.1565315328062555E-3</v>
      </c>
      <c r="AK599">
        <v>7.1565315328062555E-3</v>
      </c>
      <c r="AL599">
        <v>0</v>
      </c>
      <c r="AN599" t="s">
        <v>145</v>
      </c>
      <c r="AQ599">
        <v>6.6852631349719079E-4</v>
      </c>
    </row>
    <row r="600" spans="1:43" x14ac:dyDescent="0.2">
      <c r="A600">
        <v>598</v>
      </c>
      <c r="B600">
        <v>91</v>
      </c>
      <c r="C600">
        <v>7</v>
      </c>
      <c r="D600">
        <v>39000</v>
      </c>
      <c r="E600" t="s">
        <v>335</v>
      </c>
      <c r="F600" t="s">
        <v>49</v>
      </c>
      <c r="G600" t="s">
        <v>892</v>
      </c>
      <c r="H600">
        <v>0.10078698712433218</v>
      </c>
      <c r="I600">
        <v>7.9823578207795768E-5</v>
      </c>
      <c r="J600">
        <v>12.26</v>
      </c>
      <c r="K600">
        <v>12.271485782908</v>
      </c>
      <c r="L600" s="1">
        <v>50679</v>
      </c>
      <c r="M600" s="1">
        <v>43165</v>
      </c>
      <c r="N600" s="1">
        <v>43164</v>
      </c>
      <c r="R600">
        <v>-5.2688367511407258E-3</v>
      </c>
      <c r="S600">
        <v>-5.2688367511407258E-3</v>
      </c>
      <c r="T600" t="s">
        <v>32</v>
      </c>
      <c r="U600" t="s">
        <v>32</v>
      </c>
      <c r="V600">
        <v>1213741439</v>
      </c>
      <c r="W600" t="s">
        <v>286</v>
      </c>
      <c r="X600" t="s">
        <v>874</v>
      </c>
      <c r="Y600">
        <v>39000</v>
      </c>
      <c r="Z600" t="s">
        <v>31</v>
      </c>
      <c r="AA600">
        <v>3.3382680793322746E-2</v>
      </c>
      <c r="AB600">
        <v>113.55</v>
      </c>
      <c r="AC600" t="s">
        <v>51</v>
      </c>
      <c r="AD600" t="s">
        <v>51</v>
      </c>
      <c r="AE600" t="s">
        <v>41</v>
      </c>
      <c r="AF600">
        <v>9.4114849139223286E-2</v>
      </c>
      <c r="AG600">
        <v>2.9</v>
      </c>
      <c r="AH600" t="s">
        <v>244</v>
      </c>
      <c r="AI600" t="s">
        <v>244</v>
      </c>
      <c r="AJ600">
        <v>-1.5150133127680151E-2</v>
      </c>
      <c r="AK600">
        <v>8.2207982972538479E-3</v>
      </c>
      <c r="AL600">
        <v>2.3370931424933999E-2</v>
      </c>
      <c r="AM600" t="s">
        <v>41</v>
      </c>
      <c r="AN600" t="s">
        <v>145</v>
      </c>
      <c r="AO600" t="s">
        <v>51</v>
      </c>
      <c r="AP600" t="s">
        <v>31</v>
      </c>
      <c r="AQ600">
        <v>7.7369919155002962E-4</v>
      </c>
    </row>
    <row r="601" spans="1:43" x14ac:dyDescent="0.2">
      <c r="A601">
        <v>599</v>
      </c>
      <c r="B601">
        <v>102</v>
      </c>
      <c r="C601">
        <v>7</v>
      </c>
      <c r="D601">
        <v>30000</v>
      </c>
      <c r="E601" t="s">
        <v>316</v>
      </c>
      <c r="F601" t="s">
        <v>49</v>
      </c>
      <c r="G601" t="s">
        <v>822</v>
      </c>
      <c r="H601">
        <v>4.6821307147464256E-2</v>
      </c>
      <c r="I601">
        <v>-1.899603434834593E-6</v>
      </c>
      <c r="J601">
        <v>7.21</v>
      </c>
      <c r="L601" s="1">
        <v>46266</v>
      </c>
      <c r="M601" s="1">
        <v>43165</v>
      </c>
      <c r="N601" s="1"/>
      <c r="R601">
        <v>-2.9251940194709343E-4</v>
      </c>
      <c r="T601" t="s">
        <v>32</v>
      </c>
      <c r="V601">
        <v>958783290</v>
      </c>
      <c r="W601" t="s">
        <v>191</v>
      </c>
      <c r="X601" t="s">
        <v>250</v>
      </c>
      <c r="Y601">
        <v>30000</v>
      </c>
      <c r="Z601" t="s">
        <v>31</v>
      </c>
      <c r="AA601">
        <v>-7.9442511251380521E-4</v>
      </c>
      <c r="AB601">
        <v>118.49</v>
      </c>
      <c r="AC601" t="s">
        <v>33</v>
      </c>
      <c r="AE601" t="s">
        <v>41</v>
      </c>
      <c r="AF601">
        <v>8.891484913922329E-2</v>
      </c>
      <c r="AH601" t="s">
        <v>244</v>
      </c>
      <c r="AJ601">
        <v>6.4939399649742383E-3</v>
      </c>
      <c r="AK601">
        <v>6.4939399649742383E-3</v>
      </c>
      <c r="AL601">
        <v>0</v>
      </c>
      <c r="AN601" t="s">
        <v>144</v>
      </c>
      <c r="AQ601">
        <v>5.7740769230485737E-4</v>
      </c>
    </row>
    <row r="602" spans="1:43" x14ac:dyDescent="0.2">
      <c r="L602" s="1"/>
      <c r="M602" s="1"/>
      <c r="N602" s="1"/>
    </row>
    <row r="603" spans="1:43" x14ac:dyDescent="0.2">
      <c r="L603" s="1"/>
      <c r="M603" s="1"/>
      <c r="N603" s="1"/>
    </row>
    <row r="604" spans="1:43" x14ac:dyDescent="0.2">
      <c r="L604" s="1"/>
      <c r="M604" s="1"/>
      <c r="N604" s="1"/>
    </row>
    <row r="605" spans="1:43" x14ac:dyDescent="0.2">
      <c r="L605" s="1"/>
      <c r="M605" s="1"/>
      <c r="N605" s="1"/>
    </row>
    <row r="606" spans="1:43" x14ac:dyDescent="0.2">
      <c r="L606" s="1"/>
      <c r="M606" s="1"/>
      <c r="N606" s="1"/>
    </row>
    <row r="607" spans="1:43" x14ac:dyDescent="0.2">
      <c r="L607" s="1"/>
      <c r="M607" s="1"/>
      <c r="N607" s="1"/>
    </row>
    <row r="608" spans="1:43" x14ac:dyDescent="0.2">
      <c r="L608" s="1"/>
      <c r="M608" s="1"/>
      <c r="N608" s="1"/>
    </row>
    <row r="609" spans="12:14" x14ac:dyDescent="0.2">
      <c r="L609" s="1"/>
      <c r="M609" s="1"/>
      <c r="N609" s="1"/>
    </row>
    <row r="610" spans="12:14" x14ac:dyDescent="0.2">
      <c r="L610" s="1"/>
      <c r="M610" s="1"/>
      <c r="N610" s="1"/>
    </row>
    <row r="611" spans="12:14" x14ac:dyDescent="0.2">
      <c r="L611" s="1"/>
      <c r="M611" s="1"/>
      <c r="N611" s="1"/>
    </row>
    <row r="612" spans="12:14" x14ac:dyDescent="0.2">
      <c r="L612" s="1"/>
      <c r="M612" s="1"/>
      <c r="N612" s="1"/>
    </row>
    <row r="613" spans="12:14" x14ac:dyDescent="0.2">
      <c r="L613" s="1"/>
      <c r="M613" s="1"/>
      <c r="N613" s="1"/>
    </row>
    <row r="614" spans="12:14" x14ac:dyDescent="0.2">
      <c r="L614" s="1"/>
      <c r="M614" s="1"/>
      <c r="N614" s="1"/>
    </row>
    <row r="615" spans="12:14" x14ac:dyDescent="0.2">
      <c r="L615" s="1"/>
      <c r="M615" s="1"/>
      <c r="N615" s="1"/>
    </row>
    <row r="616" spans="12:14" x14ac:dyDescent="0.2">
      <c r="L616" s="1"/>
      <c r="M616" s="1"/>
      <c r="N616" s="1"/>
    </row>
    <row r="617" spans="12:14" x14ac:dyDescent="0.2">
      <c r="L617" s="1"/>
      <c r="M617" s="1"/>
      <c r="N617" s="1"/>
    </row>
    <row r="618" spans="12:14" x14ac:dyDescent="0.2">
      <c r="L618" s="1"/>
      <c r="M618" s="1"/>
      <c r="N618" s="1"/>
    </row>
    <row r="619" spans="12:14" x14ac:dyDescent="0.2">
      <c r="L619" s="1"/>
      <c r="M619" s="1"/>
      <c r="N619" s="1"/>
    </row>
    <row r="620" spans="12:14" x14ac:dyDescent="0.2">
      <c r="L620" s="1"/>
      <c r="M620" s="1"/>
      <c r="N620" s="1"/>
    </row>
    <row r="621" spans="12:14" x14ac:dyDescent="0.2">
      <c r="L621" s="1"/>
      <c r="M621" s="1"/>
      <c r="N621" s="1"/>
    </row>
    <row r="622" spans="12:14" x14ac:dyDescent="0.2">
      <c r="L622" s="1"/>
      <c r="M622" s="1"/>
      <c r="N622" s="1"/>
    </row>
    <row r="623" spans="12:14" x14ac:dyDescent="0.2">
      <c r="L623" s="1"/>
      <c r="M623" s="1"/>
      <c r="N623" s="1"/>
    </row>
    <row r="624" spans="12:14" x14ac:dyDescent="0.2">
      <c r="L624" s="1"/>
      <c r="M624" s="1"/>
      <c r="N624" s="1"/>
    </row>
    <row r="625" spans="12:14" x14ac:dyDescent="0.2">
      <c r="L625" s="1"/>
      <c r="M625" s="1"/>
      <c r="N625" s="1"/>
    </row>
    <row r="626" spans="12:14" x14ac:dyDescent="0.2">
      <c r="L626" s="1"/>
      <c r="M626" s="1"/>
      <c r="N626" s="1"/>
    </row>
    <row r="627" spans="12:14" x14ac:dyDescent="0.2">
      <c r="L627" s="1"/>
      <c r="M627" s="1"/>
      <c r="N627" s="1"/>
    </row>
    <row r="628" spans="12:14" x14ac:dyDescent="0.2">
      <c r="L628" s="1"/>
      <c r="M628" s="1"/>
      <c r="N628" s="1"/>
    </row>
    <row r="629" spans="12:14" x14ac:dyDescent="0.2">
      <c r="L629" s="1"/>
      <c r="M629" s="1"/>
      <c r="N629" s="1"/>
    </row>
    <row r="630" spans="12:14" x14ac:dyDescent="0.2">
      <c r="L630" s="1"/>
      <c r="M630" s="1"/>
      <c r="N630" s="1"/>
    </row>
    <row r="631" spans="12:14" x14ac:dyDescent="0.2">
      <c r="L631" s="1"/>
      <c r="M631" s="1"/>
      <c r="N631" s="1"/>
    </row>
    <row r="632" spans="12:14" x14ac:dyDescent="0.2">
      <c r="L632" s="1"/>
      <c r="M632" s="1"/>
      <c r="N632" s="1"/>
    </row>
    <row r="633" spans="12:14" x14ac:dyDescent="0.2">
      <c r="L633" s="1"/>
      <c r="M633" s="1"/>
      <c r="N633" s="1"/>
    </row>
    <row r="634" spans="12:14" x14ac:dyDescent="0.2">
      <c r="L634" s="1"/>
      <c r="M634" s="1"/>
      <c r="N634" s="1"/>
    </row>
    <row r="635" spans="12:14" x14ac:dyDescent="0.2">
      <c r="L635" s="1"/>
      <c r="M635" s="1"/>
      <c r="N635" s="1"/>
    </row>
    <row r="636" spans="12:14" x14ac:dyDescent="0.2">
      <c r="L636" s="1"/>
      <c r="M636" s="1"/>
      <c r="N636" s="1"/>
    </row>
    <row r="637" spans="12:14" x14ac:dyDescent="0.2">
      <c r="L637" s="1"/>
      <c r="M637" s="1"/>
      <c r="N637" s="1"/>
    </row>
    <row r="638" spans="12:14" x14ac:dyDescent="0.2">
      <c r="L638" s="1"/>
      <c r="M638" s="1"/>
      <c r="N638" s="1"/>
    </row>
    <row r="639" spans="12:14" x14ac:dyDescent="0.2">
      <c r="L639" s="1"/>
      <c r="M639" s="1"/>
      <c r="N639" s="1"/>
    </row>
    <row r="640" spans="12:14" x14ac:dyDescent="0.2">
      <c r="L640" s="1"/>
      <c r="M640" s="1"/>
      <c r="N640" s="1"/>
    </row>
    <row r="641" spans="12:14" x14ac:dyDescent="0.2">
      <c r="L641" s="1"/>
      <c r="M641" s="1"/>
      <c r="N641" s="1"/>
    </row>
    <row r="642" spans="12:14" x14ac:dyDescent="0.2">
      <c r="L642" s="1"/>
      <c r="M642" s="1"/>
      <c r="N642" s="1"/>
    </row>
    <row r="643" spans="12:14" x14ac:dyDescent="0.2">
      <c r="L643" s="1"/>
      <c r="M643" s="1"/>
      <c r="N643" s="1"/>
    </row>
    <row r="644" spans="12:14" x14ac:dyDescent="0.2">
      <c r="L644" s="1"/>
      <c r="M644" s="1"/>
      <c r="N644" s="1"/>
    </row>
    <row r="645" spans="12:14" x14ac:dyDescent="0.2">
      <c r="L645" s="1"/>
      <c r="M645" s="1"/>
      <c r="N645" s="1"/>
    </row>
    <row r="646" spans="12:14" x14ac:dyDescent="0.2">
      <c r="L646" s="1"/>
      <c r="M646" s="1"/>
      <c r="N646" s="1"/>
    </row>
    <row r="647" spans="12:14" x14ac:dyDescent="0.2">
      <c r="L647" s="1"/>
      <c r="M647" s="1"/>
      <c r="N647" s="1"/>
    </row>
    <row r="648" spans="12:14" x14ac:dyDescent="0.2">
      <c r="L648" s="1"/>
      <c r="M648" s="1"/>
      <c r="N648" s="1"/>
    </row>
    <row r="649" spans="12:14" x14ac:dyDescent="0.2">
      <c r="L649" s="1"/>
      <c r="M649" s="1"/>
      <c r="N649" s="1"/>
    </row>
    <row r="650" spans="12:14" x14ac:dyDescent="0.2">
      <c r="L650" s="1"/>
      <c r="M650" s="1"/>
      <c r="N650" s="1"/>
    </row>
    <row r="651" spans="12:14" x14ac:dyDescent="0.2">
      <c r="L651" s="1"/>
      <c r="M651" s="1"/>
      <c r="N651" s="1"/>
    </row>
    <row r="652" spans="12:14" x14ac:dyDescent="0.2">
      <c r="L652" s="1"/>
      <c r="M652" s="1"/>
      <c r="N652" s="1"/>
    </row>
    <row r="653" spans="12:14" x14ac:dyDescent="0.2">
      <c r="L653" s="1"/>
      <c r="M653" s="1"/>
      <c r="N653" s="1"/>
    </row>
    <row r="654" spans="12:14" x14ac:dyDescent="0.2">
      <c r="L654" s="1"/>
      <c r="M654" s="1"/>
      <c r="N654" s="1"/>
    </row>
    <row r="655" spans="12:14" x14ac:dyDescent="0.2">
      <c r="L655" s="1"/>
      <c r="M655" s="1"/>
      <c r="N655" s="1"/>
    </row>
    <row r="656" spans="12:14" x14ac:dyDescent="0.2">
      <c r="L656" s="1"/>
      <c r="M656" s="1"/>
      <c r="N656" s="1"/>
    </row>
    <row r="657" spans="12:14" x14ac:dyDescent="0.2">
      <c r="L657" s="1"/>
      <c r="M657" s="1"/>
      <c r="N657" s="1"/>
    </row>
    <row r="658" spans="12:14" x14ac:dyDescent="0.2">
      <c r="L658" s="1"/>
      <c r="M658" s="1"/>
      <c r="N658" s="1"/>
    </row>
    <row r="659" spans="12:14" x14ac:dyDescent="0.2">
      <c r="L659" s="1"/>
      <c r="M659" s="1"/>
      <c r="N659" s="1"/>
    </row>
    <row r="660" spans="12:14" x14ac:dyDescent="0.2">
      <c r="L660" s="1"/>
      <c r="M660" s="1"/>
      <c r="N660" s="1"/>
    </row>
    <row r="661" spans="12:14" x14ac:dyDescent="0.2">
      <c r="L661" s="1"/>
      <c r="M661" s="1"/>
      <c r="N661" s="1"/>
    </row>
    <row r="662" spans="12:14" x14ac:dyDescent="0.2">
      <c r="L662" s="1"/>
      <c r="M662" s="1"/>
      <c r="N662" s="1"/>
    </row>
    <row r="663" spans="12:14" x14ac:dyDescent="0.2">
      <c r="L663" s="1"/>
      <c r="M663" s="1"/>
      <c r="N663" s="1"/>
    </row>
    <row r="664" spans="12:14" x14ac:dyDescent="0.2">
      <c r="L664" s="1"/>
      <c r="M664" s="1"/>
      <c r="N664" s="1"/>
    </row>
    <row r="665" spans="12:14" x14ac:dyDescent="0.2">
      <c r="L665" s="1"/>
      <c r="M665" s="1"/>
      <c r="N665" s="1"/>
    </row>
    <row r="666" spans="12:14" x14ac:dyDescent="0.2">
      <c r="L666" s="1"/>
      <c r="M666" s="1"/>
      <c r="N666" s="1"/>
    </row>
    <row r="667" spans="12:14" x14ac:dyDescent="0.2">
      <c r="L667" s="1"/>
      <c r="M667" s="1"/>
      <c r="N667" s="1"/>
    </row>
    <row r="668" spans="12:14" x14ac:dyDescent="0.2">
      <c r="L668" s="1"/>
      <c r="M668" s="1"/>
      <c r="N668" s="1"/>
    </row>
    <row r="669" spans="12:14" x14ac:dyDescent="0.2">
      <c r="L669" s="1"/>
      <c r="M669" s="1"/>
      <c r="N669" s="1"/>
    </row>
    <row r="670" spans="12:14" x14ac:dyDescent="0.2">
      <c r="L670" s="1"/>
      <c r="M670" s="1"/>
      <c r="N670" s="1"/>
    </row>
    <row r="671" spans="12:14" x14ac:dyDescent="0.2">
      <c r="L671" s="1"/>
      <c r="M671" s="1"/>
      <c r="N671" s="1"/>
    </row>
    <row r="672" spans="12:14" x14ac:dyDescent="0.2">
      <c r="L672" s="1"/>
      <c r="M672" s="1"/>
      <c r="N672" s="1"/>
    </row>
    <row r="673" spans="12:14" x14ac:dyDescent="0.2">
      <c r="L673" s="1"/>
      <c r="M673" s="1"/>
      <c r="N673" s="1"/>
    </row>
    <row r="674" spans="12:14" x14ac:dyDescent="0.2">
      <c r="L674" s="1"/>
      <c r="M674" s="1"/>
      <c r="N674" s="1"/>
    </row>
    <row r="675" spans="12:14" x14ac:dyDescent="0.2">
      <c r="L675" s="1"/>
      <c r="M675" s="1"/>
      <c r="N675" s="1"/>
    </row>
    <row r="676" spans="12:14" x14ac:dyDescent="0.2">
      <c r="L676" s="1"/>
      <c r="M676" s="1"/>
      <c r="N676" s="1"/>
    </row>
    <row r="677" spans="12:14" x14ac:dyDescent="0.2">
      <c r="L677" s="1"/>
      <c r="M677" s="1"/>
      <c r="N677" s="1"/>
    </row>
    <row r="678" spans="12:14" x14ac:dyDescent="0.2">
      <c r="L678" s="1"/>
      <c r="M678" s="1"/>
      <c r="N678" s="1"/>
    </row>
    <row r="679" spans="12:14" x14ac:dyDescent="0.2">
      <c r="L679" s="1"/>
      <c r="M679" s="1"/>
      <c r="N679" s="1"/>
    </row>
    <row r="680" spans="12:14" x14ac:dyDescent="0.2">
      <c r="L680" s="1"/>
      <c r="M680" s="1"/>
      <c r="N680" s="1"/>
    </row>
    <row r="681" spans="12:14" x14ac:dyDescent="0.2">
      <c r="L681" s="1"/>
      <c r="M681" s="1"/>
      <c r="N681" s="1"/>
    </row>
    <row r="682" spans="12:14" x14ac:dyDescent="0.2">
      <c r="L682" s="1"/>
      <c r="M682" s="1"/>
      <c r="N682" s="1"/>
    </row>
    <row r="683" spans="12:14" x14ac:dyDescent="0.2">
      <c r="L683" s="1"/>
      <c r="M683" s="1"/>
      <c r="N683" s="1"/>
    </row>
    <row r="684" spans="12:14" x14ac:dyDescent="0.2">
      <c r="L684" s="1"/>
      <c r="M684" s="1"/>
      <c r="N684" s="1"/>
    </row>
    <row r="685" spans="12:14" x14ac:dyDescent="0.2">
      <c r="L685" s="1"/>
      <c r="M685" s="1"/>
      <c r="N685" s="1"/>
    </row>
    <row r="686" spans="12:14" x14ac:dyDescent="0.2">
      <c r="L686" s="1"/>
      <c r="M686" s="1"/>
      <c r="N686" s="1"/>
    </row>
    <row r="687" spans="12:14" x14ac:dyDescent="0.2">
      <c r="L687" s="1"/>
      <c r="M687" s="1"/>
      <c r="N687" s="1"/>
    </row>
    <row r="688" spans="12:14" x14ac:dyDescent="0.2">
      <c r="L688" s="1"/>
      <c r="M688" s="1"/>
      <c r="N688" s="1"/>
    </row>
    <row r="689" spans="12:14" x14ac:dyDescent="0.2">
      <c r="L689" s="1"/>
      <c r="M689" s="1"/>
      <c r="N689" s="1"/>
    </row>
    <row r="690" spans="12:14" x14ac:dyDescent="0.2">
      <c r="L690" s="1"/>
      <c r="M690" s="1"/>
      <c r="N690" s="1"/>
    </row>
    <row r="691" spans="12:14" x14ac:dyDescent="0.2">
      <c r="L691" s="1"/>
      <c r="M691" s="1"/>
      <c r="N691" s="1"/>
    </row>
    <row r="692" spans="12:14" x14ac:dyDescent="0.2">
      <c r="L692" s="1"/>
      <c r="M692" s="1"/>
      <c r="N692" s="1"/>
    </row>
    <row r="693" spans="12:14" x14ac:dyDescent="0.2">
      <c r="L693" s="1"/>
      <c r="M693" s="1"/>
      <c r="N693" s="1"/>
    </row>
    <row r="694" spans="12:14" x14ac:dyDescent="0.2">
      <c r="L694" s="1"/>
      <c r="M694" s="1"/>
      <c r="N694" s="1"/>
    </row>
    <row r="695" spans="12:14" x14ac:dyDescent="0.2">
      <c r="L695" s="1"/>
      <c r="M695" s="1"/>
      <c r="N695" s="1"/>
    </row>
    <row r="696" spans="12:14" x14ac:dyDescent="0.2">
      <c r="L696" s="1"/>
      <c r="M696" s="1"/>
      <c r="N696" s="1"/>
    </row>
    <row r="697" spans="12:14" x14ac:dyDescent="0.2">
      <c r="L697" s="1"/>
      <c r="M697" s="1"/>
      <c r="N697" s="1"/>
    </row>
    <row r="698" spans="12:14" x14ac:dyDescent="0.2">
      <c r="L698" s="1"/>
      <c r="M698" s="1"/>
      <c r="N698" s="1"/>
    </row>
    <row r="699" spans="12:14" x14ac:dyDescent="0.2">
      <c r="L699" s="1"/>
      <c r="M699" s="1"/>
      <c r="N699" s="1"/>
    </row>
    <row r="700" spans="12:14" x14ac:dyDescent="0.2">
      <c r="L700" s="1"/>
      <c r="M700" s="1"/>
      <c r="N700" s="1"/>
    </row>
    <row r="701" spans="12:14" x14ac:dyDescent="0.2">
      <c r="L701" s="1"/>
      <c r="M701" s="1"/>
      <c r="N701" s="1"/>
    </row>
    <row r="702" spans="12:14" x14ac:dyDescent="0.2">
      <c r="L702" s="1"/>
      <c r="M702" s="1"/>
      <c r="N702" s="1"/>
    </row>
    <row r="703" spans="12:14" x14ac:dyDescent="0.2">
      <c r="L703" s="1"/>
      <c r="M703" s="1"/>
      <c r="N703" s="1"/>
    </row>
    <row r="704" spans="12:14" x14ac:dyDescent="0.2">
      <c r="L704" s="1"/>
      <c r="M704" s="1"/>
      <c r="N704" s="1"/>
    </row>
    <row r="705" spans="12:14" x14ac:dyDescent="0.2">
      <c r="L705" s="1"/>
      <c r="M705" s="1"/>
      <c r="N705" s="1"/>
    </row>
    <row r="706" spans="12:14" x14ac:dyDescent="0.2">
      <c r="L706" s="1"/>
      <c r="M706" s="1"/>
      <c r="N706" s="1"/>
    </row>
    <row r="707" spans="12:14" x14ac:dyDescent="0.2">
      <c r="L707" s="1"/>
      <c r="M707" s="1"/>
      <c r="N707" s="1"/>
    </row>
    <row r="708" spans="12:14" x14ac:dyDescent="0.2">
      <c r="L708" s="1"/>
      <c r="M708" s="1"/>
      <c r="N708" s="1"/>
    </row>
    <row r="709" spans="12:14" x14ac:dyDescent="0.2">
      <c r="L709" s="1"/>
      <c r="M709" s="1"/>
      <c r="N709" s="1"/>
    </row>
    <row r="710" spans="12:14" x14ac:dyDescent="0.2">
      <c r="L710" s="1"/>
      <c r="M710" s="1"/>
      <c r="N710" s="1"/>
    </row>
    <row r="711" spans="12:14" x14ac:dyDescent="0.2">
      <c r="L711" s="1"/>
      <c r="M711" s="1"/>
      <c r="N711" s="1"/>
    </row>
    <row r="712" spans="12:14" x14ac:dyDescent="0.2">
      <c r="L712" s="1"/>
      <c r="M712" s="1"/>
      <c r="N712" s="1"/>
    </row>
    <row r="713" spans="12:14" x14ac:dyDescent="0.2">
      <c r="L713" s="1"/>
      <c r="M713" s="1"/>
      <c r="N713" s="1"/>
    </row>
    <row r="714" spans="12:14" x14ac:dyDescent="0.2">
      <c r="L714" s="1"/>
      <c r="M714" s="1"/>
      <c r="N714" s="1"/>
    </row>
    <row r="715" spans="12:14" x14ac:dyDescent="0.2">
      <c r="L715" s="1"/>
      <c r="M715" s="1"/>
      <c r="N715" s="1"/>
    </row>
    <row r="716" spans="12:14" x14ac:dyDescent="0.2">
      <c r="L716" s="1"/>
      <c r="M716" s="1"/>
      <c r="N716" s="1"/>
    </row>
    <row r="717" spans="12:14" x14ac:dyDescent="0.2">
      <c r="L717" s="1"/>
      <c r="M717" s="1"/>
      <c r="N717" s="1"/>
    </row>
    <row r="718" spans="12:14" x14ac:dyDescent="0.2">
      <c r="L718" s="1"/>
      <c r="M718" s="1"/>
      <c r="N718" s="1"/>
    </row>
    <row r="719" spans="12:14" x14ac:dyDescent="0.2">
      <c r="L719" s="1"/>
      <c r="M719" s="1"/>
      <c r="N719" s="1"/>
    </row>
    <row r="720" spans="12:14" x14ac:dyDescent="0.2">
      <c r="L720" s="1"/>
      <c r="M720" s="1"/>
      <c r="N720" s="1"/>
    </row>
    <row r="721" spans="12:14" x14ac:dyDescent="0.2">
      <c r="L721" s="1"/>
      <c r="M721" s="1"/>
      <c r="N721" s="1"/>
    </row>
    <row r="722" spans="12:14" x14ac:dyDescent="0.2">
      <c r="L722" s="1"/>
      <c r="M722" s="1"/>
      <c r="N722" s="1"/>
    </row>
    <row r="723" spans="12:14" x14ac:dyDescent="0.2">
      <c r="L723" s="1"/>
      <c r="M723" s="1"/>
      <c r="N723" s="1"/>
    </row>
    <row r="724" spans="12:14" x14ac:dyDescent="0.2">
      <c r="L724" s="1"/>
      <c r="M724" s="1"/>
      <c r="N724" s="1"/>
    </row>
    <row r="725" spans="12:14" x14ac:dyDescent="0.2">
      <c r="L725" s="1"/>
      <c r="M725" s="1"/>
      <c r="N725" s="1"/>
    </row>
    <row r="726" spans="12:14" x14ac:dyDescent="0.2">
      <c r="L726" s="1"/>
      <c r="M726" s="1"/>
      <c r="N726" s="1"/>
    </row>
    <row r="727" spans="12:14" x14ac:dyDescent="0.2">
      <c r="L727" s="1"/>
      <c r="M727" s="1"/>
      <c r="N727" s="1"/>
    </row>
    <row r="728" spans="12:14" x14ac:dyDescent="0.2">
      <c r="L728" s="1"/>
      <c r="M728" s="1"/>
      <c r="N728" s="1"/>
    </row>
    <row r="729" spans="12:14" x14ac:dyDescent="0.2">
      <c r="L729" s="1"/>
      <c r="M729" s="1"/>
      <c r="N729" s="1"/>
    </row>
    <row r="730" spans="12:14" x14ac:dyDescent="0.2">
      <c r="L730" s="1"/>
      <c r="M730" s="1"/>
      <c r="N730" s="1"/>
    </row>
    <row r="731" spans="12:14" x14ac:dyDescent="0.2">
      <c r="L731" s="1"/>
      <c r="M731" s="1"/>
      <c r="N731" s="1"/>
    </row>
    <row r="732" spans="12:14" x14ac:dyDescent="0.2">
      <c r="L732" s="1"/>
      <c r="M732" s="1"/>
      <c r="N732" s="1"/>
    </row>
    <row r="733" spans="12:14" x14ac:dyDescent="0.2">
      <c r="L733" s="1"/>
      <c r="M733" s="1"/>
      <c r="N733" s="1"/>
    </row>
    <row r="734" spans="12:14" x14ac:dyDescent="0.2">
      <c r="L734" s="1"/>
      <c r="M734" s="1"/>
      <c r="N734" s="1"/>
    </row>
    <row r="735" spans="12:14" x14ac:dyDescent="0.2">
      <c r="L735" s="1"/>
      <c r="M735" s="1"/>
      <c r="N735" s="1"/>
    </row>
    <row r="736" spans="12:14" x14ac:dyDescent="0.2">
      <c r="L736" s="1"/>
      <c r="M736" s="1"/>
      <c r="N736" s="1"/>
    </row>
    <row r="737" spans="12:14" x14ac:dyDescent="0.2">
      <c r="L737" s="1"/>
      <c r="M737" s="1"/>
      <c r="N737" s="1"/>
    </row>
    <row r="738" spans="12:14" x14ac:dyDescent="0.2">
      <c r="L738" s="1"/>
      <c r="M738" s="1"/>
      <c r="N738" s="1"/>
    </row>
    <row r="739" spans="12:14" x14ac:dyDescent="0.2">
      <c r="L739" s="1"/>
      <c r="M739" s="1"/>
      <c r="N739" s="1"/>
    </row>
    <row r="740" spans="12:14" x14ac:dyDescent="0.2">
      <c r="L740" s="1"/>
      <c r="M740" s="1"/>
      <c r="N740" s="1"/>
    </row>
    <row r="741" spans="12:14" x14ac:dyDescent="0.2">
      <c r="L741" s="1"/>
      <c r="M741" s="1"/>
      <c r="N741" s="1"/>
    </row>
    <row r="742" spans="12:14" x14ac:dyDescent="0.2">
      <c r="L742" s="1"/>
      <c r="M742" s="1"/>
      <c r="N742" s="1"/>
    </row>
    <row r="743" spans="12:14" x14ac:dyDescent="0.2">
      <c r="L743" s="1"/>
      <c r="M743" s="1"/>
      <c r="N743" s="1"/>
    </row>
    <row r="744" spans="12:14" x14ac:dyDescent="0.2">
      <c r="L744" s="1"/>
      <c r="M744" s="1"/>
      <c r="N744" s="1"/>
    </row>
    <row r="745" spans="12:14" x14ac:dyDescent="0.2">
      <c r="L745" s="1"/>
      <c r="M745" s="1"/>
      <c r="N745" s="1"/>
    </row>
    <row r="746" spans="12:14" x14ac:dyDescent="0.2">
      <c r="L746" s="1"/>
      <c r="M746" s="1"/>
      <c r="N746" s="1"/>
    </row>
    <row r="747" spans="12:14" x14ac:dyDescent="0.2">
      <c r="L747" s="1"/>
      <c r="M747" s="1"/>
      <c r="N747" s="1"/>
    </row>
    <row r="748" spans="12:14" x14ac:dyDescent="0.2">
      <c r="L748" s="1"/>
      <c r="M748" s="1"/>
      <c r="N748" s="1"/>
    </row>
    <row r="749" spans="12:14" x14ac:dyDescent="0.2">
      <c r="L749" s="1"/>
      <c r="M749" s="1"/>
      <c r="N749" s="1"/>
    </row>
    <row r="750" spans="12:14" x14ac:dyDescent="0.2">
      <c r="L750" s="1"/>
      <c r="M750" s="1"/>
      <c r="N750" s="1"/>
    </row>
    <row r="751" spans="12:14" x14ac:dyDescent="0.2">
      <c r="L751" s="1"/>
      <c r="M751" s="1"/>
      <c r="N751" s="1"/>
    </row>
    <row r="752" spans="12:14" x14ac:dyDescent="0.2">
      <c r="L752" s="1"/>
      <c r="M752" s="1"/>
      <c r="N752" s="1"/>
    </row>
    <row r="753" spans="12:14" x14ac:dyDescent="0.2">
      <c r="L753" s="1"/>
      <c r="M753" s="1"/>
      <c r="N753" s="1"/>
    </row>
    <row r="754" spans="12:14" x14ac:dyDescent="0.2">
      <c r="L754" s="1"/>
      <c r="M754" s="1"/>
      <c r="N754" s="1"/>
    </row>
    <row r="755" spans="12:14" x14ac:dyDescent="0.2">
      <c r="L755" s="1"/>
      <c r="M755" s="1"/>
      <c r="N755" s="1"/>
    </row>
    <row r="756" spans="12:14" x14ac:dyDescent="0.2">
      <c r="L756" s="1"/>
      <c r="M756" s="1"/>
      <c r="N756" s="1"/>
    </row>
    <row r="757" spans="12:14" x14ac:dyDescent="0.2">
      <c r="L757" s="1"/>
      <c r="M757" s="1"/>
      <c r="N757" s="1"/>
    </row>
    <row r="758" spans="12:14" x14ac:dyDescent="0.2">
      <c r="L758" s="1"/>
      <c r="M758" s="1"/>
      <c r="N758" s="1"/>
    </row>
    <row r="759" spans="12:14" x14ac:dyDescent="0.2">
      <c r="L759" s="1"/>
      <c r="M759" s="1"/>
      <c r="N759" s="1"/>
    </row>
    <row r="760" spans="12:14" x14ac:dyDescent="0.2">
      <c r="L760" s="1"/>
      <c r="M760" s="1"/>
      <c r="N760" s="1"/>
    </row>
    <row r="761" spans="12:14" x14ac:dyDescent="0.2">
      <c r="L761" s="1"/>
      <c r="M761" s="1"/>
      <c r="N761" s="1"/>
    </row>
    <row r="762" spans="12:14" x14ac:dyDescent="0.2">
      <c r="L762" s="1"/>
      <c r="M762" s="1"/>
      <c r="N762" s="1"/>
    </row>
    <row r="763" spans="12:14" x14ac:dyDescent="0.2">
      <c r="L763" s="1"/>
      <c r="M763" s="1"/>
      <c r="N763" s="1"/>
    </row>
    <row r="764" spans="12:14" x14ac:dyDescent="0.2">
      <c r="L764" s="1"/>
      <c r="M764" s="1"/>
      <c r="N764" s="1"/>
    </row>
    <row r="765" spans="12:14" x14ac:dyDescent="0.2">
      <c r="L765" s="1"/>
      <c r="M765" s="1"/>
      <c r="N765" s="1"/>
    </row>
    <row r="766" spans="12:14" x14ac:dyDescent="0.2">
      <c r="L766" s="1"/>
      <c r="M766" s="1"/>
      <c r="N766" s="1"/>
    </row>
    <row r="767" spans="12:14" x14ac:dyDescent="0.2">
      <c r="L767" s="1"/>
      <c r="M767" s="1"/>
      <c r="N767" s="1"/>
    </row>
    <row r="768" spans="12:14" x14ac:dyDescent="0.2">
      <c r="L768" s="1"/>
      <c r="M768" s="1"/>
      <c r="N768" s="1"/>
    </row>
    <row r="769" spans="12:14" x14ac:dyDescent="0.2">
      <c r="L769" s="1"/>
      <c r="M769" s="1"/>
      <c r="N769" s="1"/>
    </row>
    <row r="770" spans="12:14" x14ac:dyDescent="0.2">
      <c r="L770" s="1"/>
      <c r="M770" s="1"/>
      <c r="N770" s="1"/>
    </row>
    <row r="771" spans="12:14" x14ac:dyDescent="0.2">
      <c r="L771" s="1"/>
      <c r="M771" s="1"/>
      <c r="N771" s="1"/>
    </row>
    <row r="772" spans="12:14" x14ac:dyDescent="0.2">
      <c r="L772" s="1"/>
      <c r="M772" s="1"/>
      <c r="N772" s="1"/>
    </row>
    <row r="773" spans="12:14" x14ac:dyDescent="0.2">
      <c r="L773" s="1"/>
      <c r="M773" s="1"/>
      <c r="N773" s="1"/>
    </row>
    <row r="774" spans="12:14" x14ac:dyDescent="0.2">
      <c r="L774" s="1"/>
      <c r="M774" s="1"/>
      <c r="N774" s="1"/>
    </row>
    <row r="775" spans="12:14" x14ac:dyDescent="0.2">
      <c r="L775" s="1"/>
      <c r="M775" s="1"/>
      <c r="N775" s="1"/>
    </row>
    <row r="776" spans="12:14" x14ac:dyDescent="0.2">
      <c r="L776" s="1"/>
      <c r="M776" s="1"/>
      <c r="N776" s="1"/>
    </row>
    <row r="777" spans="12:14" x14ac:dyDescent="0.2">
      <c r="L777" s="1"/>
      <c r="M777" s="1"/>
      <c r="N777" s="1"/>
    </row>
    <row r="778" spans="12:14" x14ac:dyDescent="0.2">
      <c r="L778" s="1"/>
      <c r="M778" s="1"/>
      <c r="N778" s="1"/>
    </row>
    <row r="779" spans="12:14" x14ac:dyDescent="0.2">
      <c r="L779" s="1"/>
      <c r="M779" s="1"/>
      <c r="N779" s="1"/>
    </row>
    <row r="780" spans="12:14" x14ac:dyDescent="0.2">
      <c r="L780" s="1"/>
      <c r="M780" s="1"/>
      <c r="N780" s="1"/>
    </row>
    <row r="781" spans="12:14" x14ac:dyDescent="0.2">
      <c r="L781" s="1"/>
      <c r="M781" s="1"/>
      <c r="N781" s="1"/>
    </row>
    <row r="782" spans="12:14" x14ac:dyDescent="0.2">
      <c r="L782" s="1"/>
      <c r="M782" s="1"/>
      <c r="N782" s="1"/>
    </row>
    <row r="783" spans="12:14" x14ac:dyDescent="0.2">
      <c r="L783" s="1"/>
      <c r="M783" s="1"/>
      <c r="N783" s="1"/>
    </row>
    <row r="784" spans="12:14" x14ac:dyDescent="0.2">
      <c r="L784" s="1"/>
      <c r="M784" s="1"/>
      <c r="N784" s="1"/>
    </row>
    <row r="785" spans="12:14" x14ac:dyDescent="0.2">
      <c r="L785" s="1"/>
      <c r="M785" s="1"/>
      <c r="N785" s="1"/>
    </row>
    <row r="786" spans="12:14" x14ac:dyDescent="0.2">
      <c r="L786" s="1"/>
      <c r="M786" s="1"/>
      <c r="N786" s="1"/>
    </row>
    <row r="787" spans="12:14" x14ac:dyDescent="0.2">
      <c r="L787" s="1"/>
      <c r="M787" s="1"/>
      <c r="N787" s="1"/>
    </row>
    <row r="788" spans="12:14" x14ac:dyDescent="0.2">
      <c r="L788" s="1"/>
      <c r="M788" s="1"/>
      <c r="N788" s="1"/>
    </row>
    <row r="789" spans="12:14" x14ac:dyDescent="0.2">
      <c r="L789" s="1"/>
      <c r="M789" s="1"/>
      <c r="N789" s="1"/>
    </row>
    <row r="790" spans="12:14" x14ac:dyDescent="0.2">
      <c r="L790" s="1"/>
      <c r="M790" s="1"/>
      <c r="N790" s="1"/>
    </row>
    <row r="791" spans="12:14" x14ac:dyDescent="0.2">
      <c r="L791" s="1"/>
      <c r="M791" s="1"/>
      <c r="N791" s="1"/>
    </row>
    <row r="792" spans="12:14" x14ac:dyDescent="0.2">
      <c r="L792" s="1"/>
      <c r="M792" s="1"/>
      <c r="N792" s="1"/>
    </row>
    <row r="793" spans="12:14" x14ac:dyDescent="0.2">
      <c r="L793" s="1"/>
      <c r="M793" s="1"/>
      <c r="N793" s="1"/>
    </row>
    <row r="794" spans="12:14" x14ac:dyDescent="0.2">
      <c r="L794" s="1"/>
      <c r="M794" s="1"/>
      <c r="N794" s="1"/>
    </row>
    <row r="795" spans="12:14" x14ac:dyDescent="0.2">
      <c r="L795" s="1"/>
      <c r="M795" s="1"/>
      <c r="N795" s="1"/>
    </row>
    <row r="796" spans="12:14" x14ac:dyDescent="0.2">
      <c r="L796" s="1"/>
      <c r="M796" s="1"/>
      <c r="N796" s="1"/>
    </row>
    <row r="797" spans="12:14" x14ac:dyDescent="0.2">
      <c r="L797" s="1"/>
      <c r="M797" s="1"/>
      <c r="N797" s="1"/>
    </row>
    <row r="798" spans="12:14" x14ac:dyDescent="0.2">
      <c r="L798" s="1"/>
      <c r="M798" s="1"/>
      <c r="N798" s="1"/>
    </row>
    <row r="799" spans="12:14" x14ac:dyDescent="0.2">
      <c r="L799" s="1"/>
      <c r="M799" s="1"/>
      <c r="N799" s="1"/>
    </row>
    <row r="800" spans="12:14" x14ac:dyDescent="0.2">
      <c r="L800" s="1"/>
      <c r="M800" s="1"/>
      <c r="N800" s="1"/>
    </row>
    <row r="801" spans="12:14" x14ac:dyDescent="0.2">
      <c r="L801" s="1"/>
      <c r="M801" s="1"/>
      <c r="N801" s="1"/>
    </row>
    <row r="802" spans="12:14" x14ac:dyDescent="0.2">
      <c r="L802" s="1"/>
      <c r="M802" s="1"/>
      <c r="N802" s="1"/>
    </row>
    <row r="803" spans="12:14" x14ac:dyDescent="0.2">
      <c r="L803" s="1"/>
      <c r="M803" s="1"/>
      <c r="N803" s="1"/>
    </row>
    <row r="804" spans="12:14" x14ac:dyDescent="0.2">
      <c r="L804" s="1"/>
      <c r="M804" s="1"/>
      <c r="N804" s="1"/>
    </row>
    <row r="805" spans="12:14" x14ac:dyDescent="0.2">
      <c r="L805" s="1"/>
      <c r="M805" s="1"/>
      <c r="N805" s="1"/>
    </row>
    <row r="806" spans="12:14" x14ac:dyDescent="0.2">
      <c r="L806" s="1"/>
      <c r="M806" s="1"/>
      <c r="N806" s="1"/>
    </row>
    <row r="807" spans="12:14" x14ac:dyDescent="0.2">
      <c r="L807" s="1"/>
      <c r="M807" s="1"/>
      <c r="N807" s="1"/>
    </row>
    <row r="808" spans="12:14" x14ac:dyDescent="0.2">
      <c r="L808" s="1"/>
      <c r="M808" s="1"/>
      <c r="N808" s="1"/>
    </row>
    <row r="809" spans="12:14" x14ac:dyDescent="0.2">
      <c r="L809" s="1"/>
      <c r="M809" s="1"/>
      <c r="N809" s="1"/>
    </row>
    <row r="810" spans="12:14" x14ac:dyDescent="0.2">
      <c r="L810" s="1"/>
      <c r="M810" s="1"/>
      <c r="N810" s="1"/>
    </row>
    <row r="811" spans="12:14" x14ac:dyDescent="0.2">
      <c r="L811" s="1"/>
      <c r="M811" s="1"/>
      <c r="N811" s="1"/>
    </row>
    <row r="812" spans="12:14" x14ac:dyDescent="0.2">
      <c r="L812" s="1"/>
      <c r="M812" s="1"/>
      <c r="N812" s="1"/>
    </row>
    <row r="813" spans="12:14" x14ac:dyDescent="0.2">
      <c r="L813" s="1"/>
      <c r="M813" s="1"/>
      <c r="N813" s="1"/>
    </row>
    <row r="814" spans="12:14" x14ac:dyDescent="0.2">
      <c r="L814" s="1"/>
      <c r="M814" s="1"/>
      <c r="N814" s="1"/>
    </row>
    <row r="815" spans="12:14" x14ac:dyDescent="0.2">
      <c r="L815" s="1"/>
      <c r="M815" s="1"/>
      <c r="N815" s="1"/>
    </row>
    <row r="816" spans="12:14" x14ac:dyDescent="0.2">
      <c r="L816" s="1"/>
      <c r="M816" s="1"/>
      <c r="N816" s="1"/>
    </row>
    <row r="817" spans="12:14" x14ac:dyDescent="0.2">
      <c r="L817" s="1"/>
      <c r="M817" s="1"/>
      <c r="N817" s="1"/>
    </row>
    <row r="818" spans="12:14" x14ac:dyDescent="0.2">
      <c r="L818" s="1"/>
      <c r="M818" s="1"/>
      <c r="N818" s="1"/>
    </row>
    <row r="819" spans="12:14" x14ac:dyDescent="0.2">
      <c r="L819" s="1"/>
      <c r="M819" s="1"/>
      <c r="N819" s="1"/>
    </row>
    <row r="820" spans="12:14" x14ac:dyDescent="0.2">
      <c r="L820" s="1"/>
      <c r="M820" s="1"/>
      <c r="N820" s="1"/>
    </row>
    <row r="821" spans="12:14" x14ac:dyDescent="0.2">
      <c r="L821" s="1"/>
      <c r="M821" s="1"/>
      <c r="N821" s="1"/>
    </row>
    <row r="822" spans="12:14" x14ac:dyDescent="0.2">
      <c r="L822" s="1"/>
      <c r="M822" s="1"/>
      <c r="N822" s="1"/>
    </row>
    <row r="823" spans="12:14" x14ac:dyDescent="0.2">
      <c r="L823" s="1"/>
      <c r="M823" s="1"/>
      <c r="N823" s="1"/>
    </row>
    <row r="824" spans="12:14" x14ac:dyDescent="0.2">
      <c r="L824" s="1"/>
      <c r="M824" s="1"/>
      <c r="N824" s="1"/>
    </row>
    <row r="825" spans="12:14" x14ac:dyDescent="0.2">
      <c r="L825" s="1"/>
      <c r="M825" s="1"/>
      <c r="N825" s="1"/>
    </row>
    <row r="826" spans="12:14" x14ac:dyDescent="0.2">
      <c r="L826" s="1"/>
      <c r="M826" s="1"/>
      <c r="N826" s="1"/>
    </row>
    <row r="827" spans="12:14" x14ac:dyDescent="0.2">
      <c r="L827" s="1"/>
      <c r="M827" s="1"/>
      <c r="N827" s="1"/>
    </row>
    <row r="828" spans="12:14" x14ac:dyDescent="0.2">
      <c r="L828" s="1"/>
      <c r="M828" s="1"/>
      <c r="N828" s="1"/>
    </row>
    <row r="829" spans="12:14" x14ac:dyDescent="0.2">
      <c r="L829" s="1"/>
      <c r="M829" s="1"/>
      <c r="N829" s="1"/>
    </row>
    <row r="830" spans="12:14" x14ac:dyDescent="0.2">
      <c r="L830" s="1"/>
      <c r="M830" s="1"/>
      <c r="N830" s="1"/>
    </row>
    <row r="831" spans="12:14" x14ac:dyDescent="0.2">
      <c r="L831" s="1"/>
      <c r="M831" s="1"/>
      <c r="N831" s="1"/>
    </row>
    <row r="832" spans="12:14" x14ac:dyDescent="0.2">
      <c r="L832" s="1"/>
      <c r="M832" s="1"/>
      <c r="N832" s="1"/>
    </row>
    <row r="833" spans="12:14" x14ac:dyDescent="0.2">
      <c r="L833" s="1"/>
      <c r="M833" s="1"/>
      <c r="N833" s="1"/>
    </row>
    <row r="834" spans="12:14" x14ac:dyDescent="0.2">
      <c r="L834" s="1"/>
      <c r="M834" s="1"/>
      <c r="N834" s="1"/>
    </row>
    <row r="835" spans="12:14" x14ac:dyDescent="0.2">
      <c r="L835" s="1"/>
      <c r="M835" s="1"/>
      <c r="N835" s="1"/>
    </row>
    <row r="836" spans="12:14" x14ac:dyDescent="0.2">
      <c r="L836" s="1"/>
      <c r="M836" s="1"/>
      <c r="N836" s="1"/>
    </row>
    <row r="837" spans="12:14" x14ac:dyDescent="0.2">
      <c r="L837" s="1"/>
      <c r="M837" s="1"/>
      <c r="N837" s="1"/>
    </row>
    <row r="838" spans="12:14" x14ac:dyDescent="0.2">
      <c r="L838" s="1"/>
      <c r="M838" s="1"/>
      <c r="N838" s="1"/>
    </row>
    <row r="839" spans="12:14" x14ac:dyDescent="0.2">
      <c r="L839" s="1"/>
      <c r="M839" s="1"/>
      <c r="N839" s="1"/>
    </row>
    <row r="840" spans="12:14" x14ac:dyDescent="0.2">
      <c r="L840" s="1"/>
      <c r="M840" s="1"/>
      <c r="N840" s="1"/>
    </row>
    <row r="841" spans="12:14" x14ac:dyDescent="0.2">
      <c r="L841" s="1"/>
      <c r="M841" s="1"/>
      <c r="N841" s="1"/>
    </row>
    <row r="842" spans="12:14" x14ac:dyDescent="0.2">
      <c r="L842" s="1"/>
      <c r="M842" s="1"/>
      <c r="N842" s="1"/>
    </row>
    <row r="843" spans="12:14" x14ac:dyDescent="0.2">
      <c r="L843" s="1"/>
      <c r="M843" s="1"/>
      <c r="N843" s="1"/>
    </row>
    <row r="844" spans="12:14" x14ac:dyDescent="0.2">
      <c r="L844" s="1"/>
      <c r="M844" s="1"/>
      <c r="N844" s="1"/>
    </row>
    <row r="845" spans="12:14" x14ac:dyDescent="0.2">
      <c r="L845" s="1"/>
      <c r="M845" s="1"/>
      <c r="N845" s="1"/>
    </row>
    <row r="846" spans="12:14" x14ac:dyDescent="0.2">
      <c r="L846" s="1"/>
      <c r="M846" s="1"/>
      <c r="N846" s="1"/>
    </row>
    <row r="847" spans="12:14" x14ac:dyDescent="0.2">
      <c r="L847" s="1"/>
      <c r="M847" s="1"/>
      <c r="N847" s="1"/>
    </row>
    <row r="848" spans="12:14" x14ac:dyDescent="0.2">
      <c r="L848" s="1"/>
      <c r="M848" s="1"/>
      <c r="N848" s="1"/>
    </row>
    <row r="849" spans="12:14" x14ac:dyDescent="0.2">
      <c r="L849" s="1"/>
      <c r="M849" s="1"/>
      <c r="N849" s="1"/>
    </row>
    <row r="850" spans="12:14" x14ac:dyDescent="0.2">
      <c r="L850" s="1"/>
      <c r="M850" s="1"/>
      <c r="N850" s="1"/>
    </row>
    <row r="851" spans="12:14" x14ac:dyDescent="0.2">
      <c r="L851" s="1"/>
      <c r="M851" s="1"/>
      <c r="N851" s="1"/>
    </row>
    <row r="852" spans="12:14" x14ac:dyDescent="0.2">
      <c r="L852" s="1"/>
      <c r="M852" s="1"/>
      <c r="N852" s="1"/>
    </row>
    <row r="853" spans="12:14" x14ac:dyDescent="0.2">
      <c r="L853" s="1"/>
      <c r="M853" s="1"/>
      <c r="N853" s="1"/>
    </row>
    <row r="854" spans="12:14" x14ac:dyDescent="0.2">
      <c r="L854" s="1"/>
      <c r="M854" s="1"/>
      <c r="N854" s="1"/>
    </row>
    <row r="855" spans="12:14" x14ac:dyDescent="0.2">
      <c r="L855" s="1"/>
      <c r="M855" s="1"/>
      <c r="N855" s="1"/>
    </row>
    <row r="856" spans="12:14" x14ac:dyDescent="0.2">
      <c r="L856" s="1"/>
      <c r="M856" s="1"/>
      <c r="N856" s="1"/>
    </row>
    <row r="857" spans="12:14" x14ac:dyDescent="0.2">
      <c r="L857" s="1"/>
      <c r="M857" s="1"/>
      <c r="N857" s="1"/>
    </row>
    <row r="858" spans="12:14" x14ac:dyDescent="0.2">
      <c r="L858" s="1"/>
      <c r="M858" s="1"/>
      <c r="N858" s="1"/>
    </row>
    <row r="859" spans="12:14" x14ac:dyDescent="0.2">
      <c r="L859" s="1"/>
      <c r="M859" s="1"/>
      <c r="N859" s="1"/>
    </row>
    <row r="860" spans="12:14" x14ac:dyDescent="0.2">
      <c r="L860" s="1"/>
      <c r="M860" s="1"/>
      <c r="N860" s="1"/>
    </row>
    <row r="861" spans="12:14" x14ac:dyDescent="0.2">
      <c r="L861" s="1"/>
      <c r="M861" s="1"/>
      <c r="N861" s="1"/>
    </row>
    <row r="862" spans="12:14" x14ac:dyDescent="0.2">
      <c r="L862" s="1"/>
      <c r="M862" s="1"/>
      <c r="N862" s="1"/>
    </row>
    <row r="863" spans="12:14" x14ac:dyDescent="0.2">
      <c r="L863" s="1"/>
      <c r="M863" s="1"/>
      <c r="N863" s="1"/>
    </row>
    <row r="864" spans="12:14" x14ac:dyDescent="0.2">
      <c r="L864" s="1"/>
      <c r="M864" s="1"/>
      <c r="N864" s="1"/>
    </row>
    <row r="865" spans="12:14" x14ac:dyDescent="0.2">
      <c r="L865" s="1"/>
      <c r="M865" s="1"/>
      <c r="N865" s="1"/>
    </row>
    <row r="866" spans="12:14" x14ac:dyDescent="0.2">
      <c r="L866" s="1"/>
      <c r="M866" s="1"/>
      <c r="N866" s="1"/>
    </row>
    <row r="867" spans="12:14" x14ac:dyDescent="0.2">
      <c r="L867" s="1"/>
      <c r="M867" s="1"/>
      <c r="N867" s="1"/>
    </row>
    <row r="868" spans="12:14" x14ac:dyDescent="0.2">
      <c r="L868" s="1"/>
      <c r="M868" s="1"/>
      <c r="N868" s="1"/>
    </row>
    <row r="869" spans="12:14" x14ac:dyDescent="0.2">
      <c r="L869" s="1"/>
      <c r="M869" s="1"/>
      <c r="N869" s="1"/>
    </row>
    <row r="870" spans="12:14" x14ac:dyDescent="0.2">
      <c r="L870" s="1"/>
      <c r="M870" s="1"/>
      <c r="N870" s="1"/>
    </row>
    <row r="871" spans="12:14" x14ac:dyDescent="0.2">
      <c r="L871" s="1"/>
      <c r="M871" s="1"/>
      <c r="N871" s="1"/>
    </row>
    <row r="872" spans="12:14" x14ac:dyDescent="0.2">
      <c r="L872" s="1"/>
      <c r="M872" s="1"/>
      <c r="N872" s="1"/>
    </row>
    <row r="873" spans="12:14" x14ac:dyDescent="0.2">
      <c r="L873" s="1"/>
      <c r="M873" s="1"/>
      <c r="N873" s="1"/>
    </row>
    <row r="874" spans="12:14" x14ac:dyDescent="0.2">
      <c r="L874" s="1"/>
      <c r="M874" s="1"/>
      <c r="N874" s="1"/>
    </row>
    <row r="875" spans="12:14" x14ac:dyDescent="0.2">
      <c r="L875" s="1"/>
      <c r="M875" s="1"/>
      <c r="N875" s="1"/>
    </row>
    <row r="876" spans="12:14" x14ac:dyDescent="0.2">
      <c r="L876" s="1"/>
      <c r="M876" s="1"/>
      <c r="N876" s="1"/>
    </row>
    <row r="877" spans="12:14" x14ac:dyDescent="0.2">
      <c r="L877" s="1"/>
      <c r="M877" s="1"/>
      <c r="N877" s="1"/>
    </row>
    <row r="878" spans="12:14" x14ac:dyDescent="0.2">
      <c r="L878" s="1"/>
      <c r="M878" s="1"/>
      <c r="N878" s="1"/>
    </row>
    <row r="879" spans="12:14" x14ac:dyDescent="0.2">
      <c r="L879" s="1"/>
      <c r="M879" s="1"/>
      <c r="N879" s="1"/>
    </row>
    <row r="880" spans="12:14" x14ac:dyDescent="0.2">
      <c r="L880" s="1"/>
      <c r="M880" s="1"/>
      <c r="N880" s="1"/>
    </row>
    <row r="881" spans="12:14" x14ac:dyDescent="0.2">
      <c r="L881" s="1"/>
      <c r="M881" s="1"/>
      <c r="N881" s="1"/>
    </row>
    <row r="882" spans="12:14" x14ac:dyDescent="0.2">
      <c r="L882" s="1"/>
      <c r="M882" s="1"/>
      <c r="N882" s="1"/>
    </row>
    <row r="883" spans="12:14" x14ac:dyDescent="0.2">
      <c r="L883" s="1"/>
      <c r="M883" s="1"/>
      <c r="N883" s="1"/>
    </row>
    <row r="884" spans="12:14" x14ac:dyDescent="0.2">
      <c r="L884" s="1"/>
      <c r="M884" s="1"/>
      <c r="N884" s="1"/>
    </row>
    <row r="885" spans="12:14" x14ac:dyDescent="0.2">
      <c r="L885" s="1"/>
      <c r="M885" s="1"/>
      <c r="N885" s="1"/>
    </row>
    <row r="886" spans="12:14" x14ac:dyDescent="0.2">
      <c r="L886" s="1"/>
      <c r="M886" s="1"/>
      <c r="N886" s="1"/>
    </row>
    <row r="887" spans="12:14" x14ac:dyDescent="0.2">
      <c r="L887" s="1"/>
      <c r="M887" s="1"/>
      <c r="N887" s="1"/>
    </row>
    <row r="888" spans="12:14" x14ac:dyDescent="0.2">
      <c r="L888" s="1"/>
      <c r="M888" s="1"/>
      <c r="N888" s="1"/>
    </row>
    <row r="889" spans="12:14" x14ac:dyDescent="0.2">
      <c r="L889" s="1"/>
      <c r="M889" s="1"/>
      <c r="N889" s="1"/>
    </row>
    <row r="890" spans="12:14" x14ac:dyDescent="0.2">
      <c r="L890" s="1"/>
      <c r="M890" s="1"/>
      <c r="N890" s="1"/>
    </row>
    <row r="891" spans="12:14" x14ac:dyDescent="0.2">
      <c r="L891" s="1"/>
      <c r="M891" s="1"/>
      <c r="N891" s="1"/>
    </row>
    <row r="892" spans="12:14" x14ac:dyDescent="0.2">
      <c r="L892" s="1"/>
      <c r="M892" s="1"/>
      <c r="N892" s="1"/>
    </row>
    <row r="893" spans="12:14" x14ac:dyDescent="0.2">
      <c r="L893" s="1"/>
      <c r="M893" s="1"/>
      <c r="N893" s="1"/>
    </row>
    <row r="894" spans="12:14" x14ac:dyDescent="0.2">
      <c r="L894" s="1"/>
      <c r="M894" s="1"/>
      <c r="N894" s="1"/>
    </row>
    <row r="895" spans="12:14" x14ac:dyDescent="0.2">
      <c r="L895" s="1"/>
      <c r="M895" s="1"/>
      <c r="N895" s="1"/>
    </row>
    <row r="896" spans="12:14" x14ac:dyDescent="0.2">
      <c r="L896" s="1"/>
      <c r="M896" s="1"/>
      <c r="N896" s="1"/>
    </row>
    <row r="897" spans="12:14" x14ac:dyDescent="0.2">
      <c r="L897" s="1"/>
      <c r="M897" s="1"/>
      <c r="N897" s="1"/>
    </row>
    <row r="898" spans="12:14" x14ac:dyDescent="0.2">
      <c r="L898" s="1"/>
      <c r="M898" s="1"/>
      <c r="N898" s="1"/>
    </row>
    <row r="899" spans="12:14" x14ac:dyDescent="0.2">
      <c r="L899" s="1"/>
      <c r="M899" s="1"/>
      <c r="N899" s="1"/>
    </row>
    <row r="900" spans="12:14" x14ac:dyDescent="0.2">
      <c r="L900" s="1"/>
      <c r="M900" s="1"/>
      <c r="N900" s="1"/>
    </row>
    <row r="901" spans="12:14" x14ac:dyDescent="0.2">
      <c r="L901" s="1"/>
      <c r="M901" s="1"/>
      <c r="N901" s="1"/>
    </row>
    <row r="902" spans="12:14" x14ac:dyDescent="0.2">
      <c r="L902" s="1"/>
      <c r="M902" s="1"/>
      <c r="N902" s="1"/>
    </row>
    <row r="903" spans="12:14" x14ac:dyDescent="0.2">
      <c r="L903" s="1"/>
      <c r="M903" s="1"/>
      <c r="N903" s="1"/>
    </row>
    <row r="904" spans="12:14" x14ac:dyDescent="0.2">
      <c r="L904" s="1"/>
      <c r="M904" s="1"/>
      <c r="N904" s="1"/>
    </row>
    <row r="905" spans="12:14" x14ac:dyDescent="0.2">
      <c r="L905" s="1"/>
      <c r="M905" s="1"/>
      <c r="N905" s="1"/>
    </row>
    <row r="906" spans="12:14" x14ac:dyDescent="0.2">
      <c r="L906" s="1"/>
      <c r="M906" s="1"/>
      <c r="N906" s="1"/>
    </row>
    <row r="907" spans="12:14" x14ac:dyDescent="0.2">
      <c r="L907" s="1"/>
      <c r="M907" s="1"/>
      <c r="N907" s="1"/>
    </row>
    <row r="908" spans="12:14" x14ac:dyDescent="0.2">
      <c r="L908" s="1"/>
      <c r="M908" s="1"/>
      <c r="N908" s="1"/>
    </row>
    <row r="909" spans="12:14" x14ac:dyDescent="0.2">
      <c r="L909" s="1"/>
      <c r="M909" s="1"/>
      <c r="N909" s="1"/>
    </row>
    <row r="910" spans="12:14" x14ac:dyDescent="0.2">
      <c r="L910" s="1"/>
      <c r="M910" s="1"/>
      <c r="N910" s="1"/>
    </row>
    <row r="911" spans="12:14" x14ac:dyDescent="0.2">
      <c r="L911" s="1"/>
      <c r="M911" s="1"/>
      <c r="N911" s="1"/>
    </row>
    <row r="912" spans="12:14" x14ac:dyDescent="0.2">
      <c r="L912" s="1"/>
      <c r="M912" s="1"/>
      <c r="N912" s="1"/>
    </row>
    <row r="913" spans="12:14" x14ac:dyDescent="0.2">
      <c r="L913" s="1"/>
      <c r="M913" s="1"/>
      <c r="N913" s="1"/>
    </row>
    <row r="914" spans="12:14" x14ac:dyDescent="0.2">
      <c r="L914" s="1"/>
      <c r="M914" s="1"/>
      <c r="N914" s="1"/>
    </row>
    <row r="915" spans="12:14" x14ac:dyDescent="0.2">
      <c r="L915" s="1"/>
      <c r="M915" s="1"/>
      <c r="N915" s="1"/>
    </row>
    <row r="916" spans="12:14" x14ac:dyDescent="0.2">
      <c r="L916" s="1"/>
      <c r="M916" s="1"/>
      <c r="N916" s="1"/>
    </row>
    <row r="917" spans="12:14" x14ac:dyDescent="0.2">
      <c r="L917" s="1"/>
      <c r="M917" s="1"/>
      <c r="N917" s="1"/>
    </row>
    <row r="918" spans="12:14" x14ac:dyDescent="0.2">
      <c r="L918" s="1"/>
      <c r="M918" s="1"/>
      <c r="N918" s="1"/>
    </row>
    <row r="919" spans="12:14" x14ac:dyDescent="0.2">
      <c r="L919" s="1"/>
      <c r="M919" s="1"/>
      <c r="N919" s="1"/>
    </row>
    <row r="920" spans="12:14" x14ac:dyDescent="0.2">
      <c r="L920" s="1"/>
      <c r="M920" s="1"/>
      <c r="N920" s="1"/>
    </row>
    <row r="921" spans="12:14" x14ac:dyDescent="0.2">
      <c r="L921" s="1"/>
      <c r="M921" s="1"/>
      <c r="N921" s="1"/>
    </row>
    <row r="922" spans="12:14" x14ac:dyDescent="0.2">
      <c r="L922" s="1"/>
      <c r="M922" s="1"/>
      <c r="N922" s="1"/>
    </row>
    <row r="923" spans="12:14" x14ac:dyDescent="0.2">
      <c r="L923" s="1"/>
      <c r="M923" s="1"/>
      <c r="N923" s="1"/>
    </row>
    <row r="924" spans="12:14" x14ac:dyDescent="0.2">
      <c r="L924" s="1"/>
      <c r="M924" s="1"/>
      <c r="N924" s="1"/>
    </row>
    <row r="925" spans="12:14" x14ac:dyDescent="0.2">
      <c r="L925" s="1"/>
      <c r="M925" s="1"/>
      <c r="N925" s="1"/>
    </row>
    <row r="926" spans="12:14" x14ac:dyDescent="0.2">
      <c r="L926" s="1"/>
      <c r="M926" s="1"/>
      <c r="N926" s="1"/>
    </row>
    <row r="927" spans="12:14" x14ac:dyDescent="0.2">
      <c r="L927" s="1"/>
      <c r="M927" s="1"/>
      <c r="N927" s="1"/>
    </row>
    <row r="928" spans="12:14" x14ac:dyDescent="0.2">
      <c r="L928" s="1"/>
      <c r="M928" s="1"/>
      <c r="N928" s="1"/>
    </row>
    <row r="929" spans="12:14" x14ac:dyDescent="0.2">
      <c r="L929" s="1"/>
      <c r="M929" s="1"/>
      <c r="N929" s="1"/>
    </row>
    <row r="930" spans="12:14" x14ac:dyDescent="0.2">
      <c r="L930" s="1"/>
      <c r="M930" s="1"/>
      <c r="N930" s="1"/>
    </row>
    <row r="931" spans="12:14" x14ac:dyDescent="0.2">
      <c r="L931" s="1"/>
      <c r="M931" s="1"/>
      <c r="N931" s="1"/>
    </row>
    <row r="932" spans="12:14" x14ac:dyDescent="0.2">
      <c r="L932" s="1"/>
      <c r="M932" s="1"/>
      <c r="N932" s="1"/>
    </row>
    <row r="933" spans="12:14" x14ac:dyDescent="0.2">
      <c r="L933" s="1"/>
      <c r="M933" s="1"/>
      <c r="N933" s="1"/>
    </row>
    <row r="934" spans="12:14" x14ac:dyDescent="0.2">
      <c r="L934" s="1"/>
      <c r="M934" s="1"/>
      <c r="N934" s="1"/>
    </row>
    <row r="935" spans="12:14" x14ac:dyDescent="0.2">
      <c r="L935" s="1"/>
      <c r="M935" s="1"/>
      <c r="N935" s="1"/>
    </row>
    <row r="936" spans="12:14" x14ac:dyDescent="0.2">
      <c r="L936" s="1"/>
      <c r="M936" s="1"/>
      <c r="N936" s="1"/>
    </row>
    <row r="937" spans="12:14" x14ac:dyDescent="0.2">
      <c r="L937" s="1"/>
      <c r="M937" s="1"/>
      <c r="N937" s="1"/>
    </row>
    <row r="938" spans="12:14" x14ac:dyDescent="0.2">
      <c r="L938" s="1"/>
      <c r="M938" s="1"/>
      <c r="N938" s="1"/>
    </row>
    <row r="939" spans="12:14" x14ac:dyDescent="0.2">
      <c r="L939" s="1"/>
      <c r="M939" s="1"/>
      <c r="N939" s="1"/>
    </row>
    <row r="940" spans="12:14" x14ac:dyDescent="0.2">
      <c r="L940" s="1"/>
      <c r="M940" s="1"/>
      <c r="N940" s="1"/>
    </row>
    <row r="941" spans="12:14" x14ac:dyDescent="0.2">
      <c r="L941" s="1"/>
      <c r="M941" s="1"/>
      <c r="N941" s="1"/>
    </row>
    <row r="942" spans="12:14" x14ac:dyDescent="0.2">
      <c r="L942" s="1"/>
      <c r="M942" s="1"/>
      <c r="N942" s="1"/>
    </row>
    <row r="943" spans="12:14" x14ac:dyDescent="0.2">
      <c r="L943" s="1"/>
      <c r="M943" s="1"/>
      <c r="N943" s="1"/>
    </row>
    <row r="944" spans="12:14" x14ac:dyDescent="0.2">
      <c r="L944" s="1"/>
      <c r="M944" s="1"/>
      <c r="N944" s="1"/>
    </row>
    <row r="945" spans="12:14" x14ac:dyDescent="0.2">
      <c r="L945" s="1"/>
      <c r="M945" s="1"/>
      <c r="N945" s="1"/>
    </row>
    <row r="946" spans="12:14" x14ac:dyDescent="0.2">
      <c r="L946" s="1"/>
      <c r="M946" s="1"/>
      <c r="N946" s="1"/>
    </row>
    <row r="947" spans="12:14" x14ac:dyDescent="0.2">
      <c r="L947" s="1"/>
      <c r="M947" s="1"/>
      <c r="N947" s="1"/>
    </row>
    <row r="948" spans="12:14" x14ac:dyDescent="0.2">
      <c r="L948" s="1"/>
      <c r="M948" s="1"/>
      <c r="N948" s="1"/>
    </row>
    <row r="949" spans="12:14" x14ac:dyDescent="0.2">
      <c r="L949" s="1"/>
      <c r="M949" s="1"/>
      <c r="N949" s="1"/>
    </row>
    <row r="950" spans="12:14" x14ac:dyDescent="0.2">
      <c r="L950" s="1"/>
      <c r="M950" s="1"/>
      <c r="N950" s="1"/>
    </row>
    <row r="951" spans="12:14" x14ac:dyDescent="0.2">
      <c r="L951" s="1"/>
      <c r="M951" s="1"/>
      <c r="N951" s="1"/>
    </row>
    <row r="952" spans="12:14" x14ac:dyDescent="0.2">
      <c r="L952" s="1"/>
      <c r="M952" s="1"/>
      <c r="N952" s="1"/>
    </row>
    <row r="953" spans="12:14" x14ac:dyDescent="0.2">
      <c r="L953" s="1"/>
      <c r="M953" s="1"/>
      <c r="N953" s="1"/>
    </row>
    <row r="954" spans="12:14" x14ac:dyDescent="0.2">
      <c r="L954" s="1"/>
      <c r="M954" s="1"/>
      <c r="N954" s="1"/>
    </row>
    <row r="955" spans="12:14" x14ac:dyDescent="0.2">
      <c r="L955" s="1"/>
      <c r="M955" s="1"/>
      <c r="N955" s="1"/>
    </row>
    <row r="956" spans="12:14" x14ac:dyDescent="0.2">
      <c r="L956" s="1"/>
      <c r="M956" s="1"/>
      <c r="N956" s="1"/>
    </row>
    <row r="957" spans="12:14" x14ac:dyDescent="0.2">
      <c r="L957" s="1"/>
      <c r="M957" s="1"/>
      <c r="N957" s="1"/>
    </row>
    <row r="958" spans="12:14" x14ac:dyDescent="0.2">
      <c r="L958" s="1"/>
      <c r="M958" s="1"/>
      <c r="N958" s="1"/>
    </row>
    <row r="959" spans="12:14" x14ac:dyDescent="0.2">
      <c r="L959" s="1"/>
      <c r="M959" s="1"/>
      <c r="N959" s="1"/>
    </row>
    <row r="960" spans="12:14" x14ac:dyDescent="0.2">
      <c r="L960" s="1"/>
      <c r="M960" s="1"/>
      <c r="N960" s="1"/>
    </row>
    <row r="961" spans="12:14" x14ac:dyDescent="0.2">
      <c r="L961" s="1"/>
      <c r="M961" s="1"/>
      <c r="N961" s="1"/>
    </row>
    <row r="962" spans="12:14" x14ac:dyDescent="0.2">
      <c r="L962" s="1"/>
      <c r="M962" s="1"/>
      <c r="N962" s="1"/>
    </row>
    <row r="963" spans="12:14" x14ac:dyDescent="0.2">
      <c r="L963" s="1"/>
      <c r="M963" s="1"/>
      <c r="N963" s="1"/>
    </row>
    <row r="964" spans="12:14" x14ac:dyDescent="0.2">
      <c r="L964" s="1"/>
      <c r="M964" s="1"/>
      <c r="N964" s="1"/>
    </row>
    <row r="965" spans="12:14" x14ac:dyDescent="0.2">
      <c r="L965" s="1"/>
      <c r="M965" s="1"/>
      <c r="N965" s="1"/>
    </row>
    <row r="966" spans="12:14" x14ac:dyDescent="0.2">
      <c r="L966" s="1"/>
      <c r="M966" s="1"/>
      <c r="N966" s="1"/>
    </row>
    <row r="967" spans="12:14" x14ac:dyDescent="0.2">
      <c r="L967" s="1"/>
      <c r="M967" s="1"/>
      <c r="N967" s="1"/>
    </row>
    <row r="968" spans="12:14" x14ac:dyDescent="0.2">
      <c r="L968" s="1"/>
      <c r="M968" s="1"/>
      <c r="N968" s="1"/>
    </row>
    <row r="969" spans="12:14" x14ac:dyDescent="0.2">
      <c r="L969" s="1"/>
      <c r="M969" s="1"/>
      <c r="N969" s="1"/>
    </row>
    <row r="970" spans="12:14" x14ac:dyDescent="0.2">
      <c r="L970" s="1"/>
      <c r="M970" s="1"/>
      <c r="N970" s="1"/>
    </row>
    <row r="971" spans="12:14" x14ac:dyDescent="0.2">
      <c r="L971" s="1"/>
      <c r="M971" s="1"/>
      <c r="N971" s="1"/>
    </row>
    <row r="972" spans="12:14" x14ac:dyDescent="0.2">
      <c r="L972" s="1"/>
      <c r="M972" s="1"/>
      <c r="N972" s="1"/>
    </row>
    <row r="973" spans="12:14" x14ac:dyDescent="0.2">
      <c r="L973" s="1"/>
      <c r="M973" s="1"/>
      <c r="N973" s="1"/>
    </row>
    <row r="974" spans="12:14" x14ac:dyDescent="0.2">
      <c r="L974" s="1"/>
      <c r="M974" s="1"/>
      <c r="N974" s="1"/>
    </row>
    <row r="975" spans="12:14" x14ac:dyDescent="0.2">
      <c r="L975" s="1"/>
      <c r="M975" s="1"/>
      <c r="N975" s="1"/>
    </row>
    <row r="976" spans="12:14" x14ac:dyDescent="0.2">
      <c r="L976" s="1"/>
      <c r="M976" s="1"/>
      <c r="N976" s="1"/>
    </row>
    <row r="977" spans="12:14" x14ac:dyDescent="0.2">
      <c r="L977" s="1"/>
      <c r="M977" s="1"/>
      <c r="N977" s="1"/>
    </row>
    <row r="978" spans="12:14" x14ac:dyDescent="0.2">
      <c r="L978" s="1"/>
      <c r="M978" s="1"/>
      <c r="N978" s="1"/>
    </row>
    <row r="979" spans="12:14" x14ac:dyDescent="0.2">
      <c r="L979" s="1"/>
      <c r="M979" s="1"/>
      <c r="N979" s="1"/>
    </row>
    <row r="980" spans="12:14" x14ac:dyDescent="0.2">
      <c r="L980" s="1"/>
      <c r="M980" s="1"/>
      <c r="N980" s="1"/>
    </row>
    <row r="981" spans="12:14" x14ac:dyDescent="0.2">
      <c r="L981" s="1"/>
      <c r="M981" s="1"/>
      <c r="N981" s="1"/>
    </row>
    <row r="982" spans="12:14" x14ac:dyDescent="0.2">
      <c r="L982" s="1"/>
      <c r="M982" s="1"/>
      <c r="N982" s="1"/>
    </row>
    <row r="983" spans="12:14" x14ac:dyDescent="0.2">
      <c r="L983" s="1"/>
      <c r="M983" s="1"/>
      <c r="N983" s="1"/>
    </row>
    <row r="984" spans="12:14" x14ac:dyDescent="0.2">
      <c r="L984" s="1"/>
      <c r="M984" s="1"/>
      <c r="N984" s="1"/>
    </row>
    <row r="985" spans="12:14" x14ac:dyDescent="0.2">
      <c r="L985" s="1"/>
      <c r="M985" s="1"/>
      <c r="N985" s="1"/>
    </row>
    <row r="986" spans="12:14" x14ac:dyDescent="0.2">
      <c r="L986" s="1"/>
      <c r="M986" s="1"/>
      <c r="N986" s="1"/>
    </row>
    <row r="987" spans="12:14" x14ac:dyDescent="0.2">
      <c r="L987" s="1"/>
      <c r="M987" s="1"/>
      <c r="N987" s="1"/>
    </row>
    <row r="988" spans="12:14" x14ac:dyDescent="0.2">
      <c r="L988" s="1"/>
      <c r="M988" s="1"/>
      <c r="N988" s="1"/>
    </row>
    <row r="989" spans="12:14" x14ac:dyDescent="0.2">
      <c r="L989" s="1"/>
      <c r="M989" s="1"/>
      <c r="N989" s="1"/>
    </row>
    <row r="990" spans="12:14" x14ac:dyDescent="0.2">
      <c r="L990" s="1"/>
      <c r="M990" s="1"/>
      <c r="N990" s="1"/>
    </row>
    <row r="991" spans="12:14" x14ac:dyDescent="0.2">
      <c r="L991" s="1"/>
      <c r="M991" s="1"/>
      <c r="N991" s="1"/>
    </row>
    <row r="992" spans="12:14" x14ac:dyDescent="0.2">
      <c r="L992" s="1"/>
      <c r="M992" s="1"/>
      <c r="N992" s="1"/>
    </row>
    <row r="993" spans="12:14" x14ac:dyDescent="0.2">
      <c r="L993" s="1"/>
      <c r="M993" s="1"/>
      <c r="N993" s="1"/>
    </row>
    <row r="994" spans="12:14" x14ac:dyDescent="0.2">
      <c r="L994" s="1"/>
      <c r="M994" s="1"/>
      <c r="N994" s="1"/>
    </row>
    <row r="995" spans="12:14" x14ac:dyDescent="0.2">
      <c r="L995" s="1"/>
      <c r="M995" s="1"/>
      <c r="N995" s="1"/>
    </row>
    <row r="996" spans="12:14" x14ac:dyDescent="0.2">
      <c r="L996" s="1"/>
      <c r="M996" s="1"/>
      <c r="N996" s="1"/>
    </row>
    <row r="997" spans="12:14" x14ac:dyDescent="0.2">
      <c r="L997" s="1"/>
      <c r="M997" s="1"/>
      <c r="N997" s="1"/>
    </row>
    <row r="998" spans="12:14" x14ac:dyDescent="0.2">
      <c r="L998" s="1"/>
      <c r="M998" s="1"/>
      <c r="N998" s="1"/>
    </row>
    <row r="999" spans="12:14" x14ac:dyDescent="0.2">
      <c r="L999" s="1"/>
      <c r="M999" s="1"/>
      <c r="N999" s="1"/>
    </row>
    <row r="1000" spans="12:14" x14ac:dyDescent="0.2">
      <c r="L1000" s="1"/>
      <c r="M1000" s="1"/>
      <c r="N1000" s="1"/>
    </row>
    <row r="1001" spans="12:14" x14ac:dyDescent="0.2">
      <c r="L1001" s="1"/>
      <c r="M1001" s="1"/>
      <c r="N1001" s="1"/>
    </row>
    <row r="1002" spans="12:14" x14ac:dyDescent="0.2">
      <c r="L1002" s="1"/>
      <c r="M1002" s="1"/>
      <c r="N1002" s="1"/>
    </row>
    <row r="1003" spans="12:14" x14ac:dyDescent="0.2">
      <c r="L1003" s="1"/>
      <c r="M1003" s="1"/>
      <c r="N1003" s="1"/>
    </row>
    <row r="1004" spans="12:14" x14ac:dyDescent="0.2">
      <c r="L1004" s="1"/>
      <c r="M1004" s="1"/>
      <c r="N1004" s="1"/>
    </row>
    <row r="1005" spans="12:14" x14ac:dyDescent="0.2">
      <c r="L1005" s="1"/>
      <c r="M1005" s="1"/>
      <c r="N1005" s="1"/>
    </row>
    <row r="1006" spans="12:14" x14ac:dyDescent="0.2">
      <c r="L1006" s="1"/>
      <c r="M1006" s="1"/>
      <c r="N1006" s="1"/>
    </row>
    <row r="1007" spans="12:14" x14ac:dyDescent="0.2">
      <c r="L1007" s="1"/>
      <c r="M1007" s="1"/>
      <c r="N1007" s="1"/>
    </row>
    <row r="1008" spans="12:14" x14ac:dyDescent="0.2">
      <c r="L1008" s="1"/>
      <c r="M1008" s="1"/>
      <c r="N1008" s="1"/>
    </row>
    <row r="1009" spans="12:14" x14ac:dyDescent="0.2">
      <c r="L1009" s="1"/>
      <c r="M1009" s="1"/>
      <c r="N1009" s="1"/>
    </row>
    <row r="1010" spans="12:14" x14ac:dyDescent="0.2">
      <c r="L1010" s="1"/>
      <c r="M1010" s="1"/>
      <c r="N1010" s="1"/>
    </row>
    <row r="1011" spans="12:14" x14ac:dyDescent="0.2">
      <c r="L1011" s="1"/>
      <c r="M1011" s="1"/>
      <c r="N1011" s="1"/>
    </row>
    <row r="1012" spans="12:14" x14ac:dyDescent="0.2">
      <c r="L1012" s="1"/>
      <c r="M1012" s="1"/>
      <c r="N1012" s="1"/>
    </row>
    <row r="1013" spans="12:14" x14ac:dyDescent="0.2">
      <c r="L1013" s="1"/>
      <c r="M1013" s="1"/>
      <c r="N1013" s="1"/>
    </row>
    <row r="1014" spans="12:14" x14ac:dyDescent="0.2">
      <c r="L1014" s="1"/>
      <c r="M1014" s="1"/>
      <c r="N1014" s="1"/>
    </row>
    <row r="1015" spans="12:14" x14ac:dyDescent="0.2">
      <c r="L1015" s="1"/>
      <c r="M1015" s="1"/>
      <c r="N1015" s="1"/>
    </row>
    <row r="1016" spans="12:14" x14ac:dyDescent="0.2">
      <c r="L1016" s="1"/>
      <c r="M1016" s="1"/>
      <c r="N1016" s="1"/>
    </row>
    <row r="1017" spans="12:14" x14ac:dyDescent="0.2">
      <c r="L1017" s="1"/>
      <c r="M1017" s="1"/>
      <c r="N1017" s="1"/>
    </row>
    <row r="1018" spans="12:14" x14ac:dyDescent="0.2">
      <c r="L1018" s="1"/>
      <c r="M1018" s="1"/>
      <c r="N1018" s="1"/>
    </row>
    <row r="1019" spans="12:14" x14ac:dyDescent="0.2">
      <c r="L1019" s="1"/>
      <c r="M1019" s="1"/>
      <c r="N1019" s="1"/>
    </row>
    <row r="1020" spans="12:14" x14ac:dyDescent="0.2">
      <c r="L1020" s="1"/>
      <c r="M1020" s="1"/>
      <c r="N1020" s="1"/>
    </row>
    <row r="1021" spans="12:14" x14ac:dyDescent="0.2">
      <c r="L1021" s="1"/>
      <c r="M1021" s="1"/>
      <c r="N1021" s="1"/>
    </row>
    <row r="1022" spans="12:14" x14ac:dyDescent="0.2">
      <c r="L1022" s="1"/>
      <c r="M1022" s="1"/>
      <c r="N1022" s="1"/>
    </row>
    <row r="1023" spans="12:14" x14ac:dyDescent="0.2">
      <c r="L1023" s="1"/>
      <c r="M1023" s="1"/>
      <c r="N1023" s="1"/>
    </row>
    <row r="1024" spans="12:14" x14ac:dyDescent="0.2">
      <c r="L1024" s="1"/>
      <c r="M1024" s="1"/>
      <c r="N1024" s="1"/>
    </row>
    <row r="1025" spans="12:14" x14ac:dyDescent="0.2">
      <c r="L1025" s="1"/>
      <c r="M1025" s="1"/>
      <c r="N1025" s="1"/>
    </row>
    <row r="1026" spans="12:14" x14ac:dyDescent="0.2">
      <c r="L1026" s="1"/>
      <c r="M1026" s="1"/>
      <c r="N1026" s="1"/>
    </row>
    <row r="1027" spans="12:14" x14ac:dyDescent="0.2">
      <c r="L1027" s="1"/>
      <c r="M1027" s="1"/>
      <c r="N1027" s="1"/>
    </row>
    <row r="1028" spans="12:14" x14ac:dyDescent="0.2">
      <c r="L1028" s="1"/>
      <c r="M1028" s="1"/>
      <c r="N1028" s="1"/>
    </row>
    <row r="1029" spans="12:14" x14ac:dyDescent="0.2">
      <c r="L1029" s="1"/>
      <c r="M1029" s="1"/>
      <c r="N1029" s="1"/>
    </row>
    <row r="1030" spans="12:14" x14ac:dyDescent="0.2">
      <c r="L1030" s="1"/>
      <c r="M1030" s="1"/>
      <c r="N1030" s="1"/>
    </row>
    <row r="1031" spans="12:14" x14ac:dyDescent="0.2">
      <c r="L1031" s="1"/>
      <c r="M1031" s="1"/>
      <c r="N1031" s="1"/>
    </row>
    <row r="1032" spans="12:14" x14ac:dyDescent="0.2">
      <c r="L1032" s="1"/>
      <c r="M1032" s="1"/>
      <c r="N1032" s="1"/>
    </row>
    <row r="1033" spans="12:14" x14ac:dyDescent="0.2">
      <c r="L1033" s="1"/>
      <c r="M1033" s="1"/>
      <c r="N1033" s="1"/>
    </row>
    <row r="1034" spans="12:14" x14ac:dyDescent="0.2">
      <c r="L1034" s="1"/>
      <c r="M1034" s="1"/>
      <c r="N1034" s="1"/>
    </row>
    <row r="1035" spans="12:14" x14ac:dyDescent="0.2">
      <c r="L1035" s="1"/>
      <c r="M1035" s="1"/>
      <c r="N1035" s="1"/>
    </row>
    <row r="1036" spans="12:14" x14ac:dyDescent="0.2">
      <c r="L1036" s="1"/>
      <c r="M1036" s="1"/>
      <c r="N1036" s="1"/>
    </row>
    <row r="1037" spans="12:14" x14ac:dyDescent="0.2">
      <c r="L1037" s="1"/>
      <c r="M1037" s="1"/>
      <c r="N1037" s="1"/>
    </row>
    <row r="1038" spans="12:14" x14ac:dyDescent="0.2">
      <c r="L1038" s="1"/>
      <c r="M1038" s="1"/>
      <c r="N1038" s="1"/>
    </row>
    <row r="1039" spans="12:14" x14ac:dyDescent="0.2">
      <c r="L1039" s="1"/>
      <c r="M1039" s="1"/>
      <c r="N1039" s="1"/>
    </row>
    <row r="1040" spans="12:14" x14ac:dyDescent="0.2">
      <c r="L1040" s="1"/>
      <c r="M1040" s="1"/>
      <c r="N1040" s="1"/>
    </row>
    <row r="1041" spans="12:14" x14ac:dyDescent="0.2">
      <c r="L1041" s="1"/>
      <c r="M1041" s="1"/>
      <c r="N1041" s="1"/>
    </row>
    <row r="1042" spans="12:14" x14ac:dyDescent="0.2">
      <c r="L1042" s="1"/>
      <c r="M1042" s="1"/>
      <c r="N1042" s="1"/>
    </row>
    <row r="1043" spans="12:14" x14ac:dyDescent="0.2">
      <c r="L1043" s="1"/>
      <c r="M1043" s="1"/>
      <c r="N1043" s="1"/>
    </row>
    <row r="1044" spans="12:14" x14ac:dyDescent="0.2">
      <c r="L1044" s="1"/>
      <c r="M1044" s="1"/>
      <c r="N1044" s="1"/>
    </row>
    <row r="1045" spans="12:14" x14ac:dyDescent="0.2">
      <c r="L1045" s="1"/>
      <c r="M1045" s="1"/>
      <c r="N1045" s="1"/>
    </row>
    <row r="1046" spans="12:14" x14ac:dyDescent="0.2">
      <c r="L1046" s="1"/>
      <c r="M1046" s="1"/>
      <c r="N1046" s="1"/>
    </row>
    <row r="1047" spans="12:14" x14ac:dyDescent="0.2">
      <c r="L1047" s="1"/>
      <c r="M1047" s="1"/>
      <c r="N1047" s="1"/>
    </row>
    <row r="1048" spans="12:14" x14ac:dyDescent="0.2">
      <c r="L1048" s="1"/>
      <c r="M1048" s="1"/>
      <c r="N1048" s="1"/>
    </row>
    <row r="1049" spans="12:14" x14ac:dyDescent="0.2">
      <c r="L1049" s="1"/>
      <c r="M1049" s="1"/>
      <c r="N1049" s="1"/>
    </row>
    <row r="1050" spans="12:14" x14ac:dyDescent="0.2">
      <c r="L1050" s="1"/>
      <c r="M1050" s="1"/>
      <c r="N1050" s="1"/>
    </row>
    <row r="1051" spans="12:14" x14ac:dyDescent="0.2">
      <c r="L1051" s="1"/>
      <c r="M1051" s="1"/>
      <c r="N1051" s="1"/>
    </row>
    <row r="1052" spans="12:14" x14ac:dyDescent="0.2">
      <c r="L1052" s="1"/>
      <c r="M1052" s="1"/>
      <c r="N1052" s="1"/>
    </row>
    <row r="1053" spans="12:14" x14ac:dyDescent="0.2">
      <c r="L1053" s="1"/>
      <c r="M1053" s="1"/>
      <c r="N1053" s="1"/>
    </row>
    <row r="1054" spans="12:14" x14ac:dyDescent="0.2">
      <c r="L1054" s="1"/>
      <c r="M1054" s="1"/>
      <c r="N1054" s="1"/>
    </row>
    <row r="1055" spans="12:14" x14ac:dyDescent="0.2">
      <c r="L1055" s="1"/>
      <c r="M1055" s="1"/>
      <c r="N1055" s="1"/>
    </row>
    <row r="1056" spans="12:14" x14ac:dyDescent="0.2">
      <c r="L1056" s="1"/>
      <c r="M1056" s="1"/>
      <c r="N1056" s="1"/>
    </row>
    <row r="1057" spans="12:14" x14ac:dyDescent="0.2">
      <c r="L1057" s="1"/>
      <c r="M1057" s="1"/>
      <c r="N1057" s="1"/>
    </row>
    <row r="1058" spans="12:14" x14ac:dyDescent="0.2">
      <c r="L1058" s="1"/>
      <c r="M1058" s="1"/>
      <c r="N1058" s="1"/>
    </row>
    <row r="1059" spans="12:14" x14ac:dyDescent="0.2">
      <c r="L1059" s="1"/>
      <c r="M1059" s="1"/>
      <c r="N1059" s="1"/>
    </row>
    <row r="1060" spans="12:14" x14ac:dyDescent="0.2">
      <c r="L1060" s="1"/>
      <c r="M1060" s="1"/>
      <c r="N1060" s="1"/>
    </row>
    <row r="1061" spans="12:14" x14ac:dyDescent="0.2">
      <c r="L1061" s="1"/>
      <c r="M1061" s="1"/>
      <c r="N1061" s="1"/>
    </row>
    <row r="1062" spans="12:14" x14ac:dyDescent="0.2">
      <c r="L1062" s="1"/>
      <c r="M1062" s="1"/>
      <c r="N1062" s="1"/>
    </row>
    <row r="1063" spans="12:14" x14ac:dyDescent="0.2">
      <c r="L1063" s="1"/>
      <c r="M1063" s="1"/>
    </row>
    <row r="1064" spans="12:14" x14ac:dyDescent="0.2">
      <c r="L1064" s="1"/>
      <c r="M1064" s="1"/>
    </row>
    <row r="1065" spans="12:14" x14ac:dyDescent="0.2">
      <c r="L1065" s="1"/>
      <c r="M1065" s="1"/>
    </row>
    <row r="1066" spans="12:14" x14ac:dyDescent="0.2">
      <c r="L1066" s="1"/>
      <c r="M1066" s="1"/>
    </row>
    <row r="1067" spans="12:14" x14ac:dyDescent="0.2">
      <c r="L1067" s="1"/>
      <c r="M1067" s="1"/>
    </row>
    <row r="1068" spans="12:14" x14ac:dyDescent="0.2">
      <c r="L1068" s="1"/>
      <c r="M1068" s="1"/>
    </row>
    <row r="1069" spans="12:14" x14ac:dyDescent="0.2">
      <c r="L1069" s="1"/>
      <c r="M1069" s="1"/>
    </row>
    <row r="1070" spans="12:14" x14ac:dyDescent="0.2">
      <c r="L1070" s="1"/>
      <c r="M1070" s="1"/>
    </row>
    <row r="1071" spans="12:14" x14ac:dyDescent="0.2">
      <c r="L1071" s="1"/>
      <c r="M1071" s="1"/>
    </row>
    <row r="1072" spans="12:14" x14ac:dyDescent="0.2">
      <c r="L1072" s="1"/>
      <c r="M1072" s="1"/>
    </row>
    <row r="1073" spans="12:13" x14ac:dyDescent="0.2">
      <c r="L1073" s="1"/>
      <c r="M1073" s="1"/>
    </row>
    <row r="1074" spans="12:13" x14ac:dyDescent="0.2">
      <c r="L1074" s="1"/>
      <c r="M1074" s="1"/>
    </row>
    <row r="1075" spans="12:13" x14ac:dyDescent="0.2">
      <c r="L1075" s="1"/>
      <c r="M1075" s="1"/>
    </row>
    <row r="1076" spans="12:13" x14ac:dyDescent="0.2">
      <c r="L1076" s="1"/>
      <c r="M1076" s="1"/>
    </row>
    <row r="1077" spans="12:13" x14ac:dyDescent="0.2">
      <c r="L1077" s="1"/>
      <c r="M1077" s="1"/>
    </row>
    <row r="1078" spans="12:13" x14ac:dyDescent="0.2">
      <c r="L1078" s="1"/>
      <c r="M1078" s="1"/>
    </row>
    <row r="1079" spans="12:13" x14ac:dyDescent="0.2">
      <c r="L1079" s="1"/>
      <c r="M1079" s="1"/>
    </row>
    <row r="1080" spans="12:13" x14ac:dyDescent="0.2">
      <c r="L1080" s="1"/>
      <c r="M1080" s="1"/>
    </row>
    <row r="1081" spans="12:13" x14ac:dyDescent="0.2">
      <c r="L1081" s="1"/>
      <c r="M1081" s="1"/>
    </row>
    <row r="1082" spans="12:13" x14ac:dyDescent="0.2">
      <c r="L1082" s="1"/>
      <c r="M1082" s="1"/>
    </row>
    <row r="1083" spans="12:13" x14ac:dyDescent="0.2">
      <c r="L1083" s="1"/>
      <c r="M1083" s="1"/>
    </row>
    <row r="1084" spans="12:13" x14ac:dyDescent="0.2">
      <c r="L1084" s="1"/>
      <c r="M1084" s="1"/>
    </row>
    <row r="1085" spans="12:13" x14ac:dyDescent="0.2">
      <c r="L1085" s="1"/>
      <c r="M1085" s="1"/>
    </row>
    <row r="1086" spans="12:13" x14ac:dyDescent="0.2">
      <c r="L1086" s="1"/>
      <c r="M1086" s="1"/>
    </row>
    <row r="1087" spans="12:13" x14ac:dyDescent="0.2">
      <c r="L1087" s="1"/>
      <c r="M1087" s="1"/>
    </row>
    <row r="1088" spans="12:13" x14ac:dyDescent="0.2">
      <c r="L1088" s="1"/>
      <c r="M1088" s="1"/>
    </row>
    <row r="1089" spans="12:13" x14ac:dyDescent="0.2">
      <c r="L1089" s="1"/>
      <c r="M1089" s="1"/>
    </row>
    <row r="1090" spans="12:13" x14ac:dyDescent="0.2">
      <c r="L1090" s="1"/>
      <c r="M1090" s="1"/>
    </row>
    <row r="1091" spans="12:13" x14ac:dyDescent="0.2">
      <c r="L1091" s="1"/>
      <c r="M1091" s="1"/>
    </row>
    <row r="1092" spans="12:13" x14ac:dyDescent="0.2">
      <c r="L1092" s="1"/>
      <c r="M1092" s="1"/>
    </row>
    <row r="1093" spans="12:13" x14ac:dyDescent="0.2">
      <c r="L1093" s="1"/>
      <c r="M1093" s="1"/>
    </row>
    <row r="1094" spans="12:13" x14ac:dyDescent="0.2">
      <c r="L1094" s="1"/>
      <c r="M1094" s="1"/>
    </row>
    <row r="1095" spans="12:13" x14ac:dyDescent="0.2">
      <c r="L1095" s="1"/>
      <c r="M1095" s="1"/>
    </row>
    <row r="1096" spans="12:13" x14ac:dyDescent="0.2">
      <c r="L1096" s="1"/>
      <c r="M1096" s="1"/>
    </row>
    <row r="1097" spans="12:13" x14ac:dyDescent="0.2">
      <c r="L1097" s="1"/>
      <c r="M1097" s="1"/>
    </row>
    <row r="1098" spans="12:13" x14ac:dyDescent="0.2">
      <c r="L1098" s="1"/>
      <c r="M1098" s="1"/>
    </row>
    <row r="1099" spans="12:13" x14ac:dyDescent="0.2">
      <c r="L1099" s="1"/>
      <c r="M1099" s="1"/>
    </row>
    <row r="1100" spans="12:13" x14ac:dyDescent="0.2">
      <c r="L1100" s="1"/>
      <c r="M1100" s="1"/>
    </row>
    <row r="1101" spans="12:13" x14ac:dyDescent="0.2">
      <c r="L1101" s="1"/>
      <c r="M1101" s="1"/>
    </row>
    <row r="1102" spans="12:13" x14ac:dyDescent="0.2">
      <c r="L1102" s="1"/>
      <c r="M1102" s="1"/>
    </row>
    <row r="1103" spans="12:13" x14ac:dyDescent="0.2">
      <c r="L1103" s="1"/>
      <c r="M1103" s="1"/>
    </row>
    <row r="1104" spans="12:13" x14ac:dyDescent="0.2">
      <c r="L1104" s="1"/>
      <c r="M1104" s="1"/>
    </row>
    <row r="1105" spans="12:13" x14ac:dyDescent="0.2">
      <c r="L1105" s="1"/>
      <c r="M1105" s="1"/>
    </row>
    <row r="1106" spans="12:13" x14ac:dyDescent="0.2">
      <c r="L1106" s="1"/>
      <c r="M1106" s="1"/>
    </row>
    <row r="1107" spans="12:13" x14ac:dyDescent="0.2">
      <c r="L1107" s="1"/>
      <c r="M1107" s="1"/>
    </row>
    <row r="1108" spans="12:13" x14ac:dyDescent="0.2">
      <c r="L1108" s="1"/>
      <c r="M1108" s="1"/>
    </row>
    <row r="1109" spans="12:13" x14ac:dyDescent="0.2">
      <c r="L1109" s="1"/>
      <c r="M1109" s="1"/>
    </row>
    <row r="1110" spans="12:13" x14ac:dyDescent="0.2">
      <c r="L1110" s="1"/>
      <c r="M1110" s="1"/>
    </row>
    <row r="1111" spans="12:13" x14ac:dyDescent="0.2">
      <c r="L1111" s="1"/>
      <c r="M1111" s="1"/>
    </row>
    <row r="1112" spans="12:13" x14ac:dyDescent="0.2">
      <c r="L1112" s="1"/>
      <c r="M1112" s="1"/>
    </row>
    <row r="1113" spans="12:13" x14ac:dyDescent="0.2">
      <c r="L1113" s="1"/>
      <c r="M1113" s="1"/>
    </row>
    <row r="1114" spans="12:13" x14ac:dyDescent="0.2">
      <c r="L1114" s="1"/>
      <c r="M1114" s="1"/>
    </row>
    <row r="1115" spans="12:13" x14ac:dyDescent="0.2">
      <c r="L1115" s="1"/>
      <c r="M1115" s="1"/>
    </row>
    <row r="1116" spans="12:13" x14ac:dyDescent="0.2">
      <c r="L1116" s="1"/>
      <c r="M1116" s="1"/>
    </row>
    <row r="1117" spans="12:13" x14ac:dyDescent="0.2">
      <c r="L1117" s="1"/>
      <c r="M1117" s="1"/>
    </row>
    <row r="1118" spans="12:13" x14ac:dyDescent="0.2">
      <c r="L1118" s="1"/>
      <c r="M1118" s="1"/>
    </row>
    <row r="1119" spans="12:13" x14ac:dyDescent="0.2">
      <c r="L1119" s="1"/>
      <c r="M1119" s="1"/>
    </row>
    <row r="1120" spans="12:13" x14ac:dyDescent="0.2">
      <c r="L1120" s="1"/>
      <c r="M1120" s="1"/>
    </row>
    <row r="1121" spans="12:13" x14ac:dyDescent="0.2">
      <c r="L1121" s="1"/>
      <c r="M1121" s="1"/>
    </row>
    <row r="1122" spans="12:13" x14ac:dyDescent="0.2">
      <c r="L1122" s="1"/>
      <c r="M1122" s="1"/>
    </row>
    <row r="1123" spans="12:13" x14ac:dyDescent="0.2">
      <c r="L1123" s="1"/>
      <c r="M1123" s="1"/>
    </row>
    <row r="1124" spans="12:13" x14ac:dyDescent="0.2">
      <c r="L1124" s="1"/>
      <c r="M1124" s="1"/>
    </row>
    <row r="1125" spans="12:13" x14ac:dyDescent="0.2">
      <c r="L1125" s="1"/>
      <c r="M1125" s="1"/>
    </row>
    <row r="1126" spans="12:13" x14ac:dyDescent="0.2">
      <c r="L1126" s="1"/>
      <c r="M1126" s="1"/>
    </row>
    <row r="1127" spans="12:13" x14ac:dyDescent="0.2">
      <c r="L1127" s="1"/>
      <c r="M1127" s="1"/>
    </row>
    <row r="1128" spans="12:13" x14ac:dyDescent="0.2">
      <c r="L1128" s="1"/>
      <c r="M1128" s="1"/>
    </row>
    <row r="1129" spans="12:13" x14ac:dyDescent="0.2">
      <c r="L1129" s="1"/>
      <c r="M1129" s="1"/>
    </row>
    <row r="1130" spans="12:13" x14ac:dyDescent="0.2">
      <c r="L1130" s="1"/>
      <c r="M1130" s="1"/>
    </row>
    <row r="1131" spans="12:13" x14ac:dyDescent="0.2">
      <c r="L1131" s="1"/>
      <c r="M1131" s="1"/>
    </row>
    <row r="1132" spans="12:13" x14ac:dyDescent="0.2">
      <c r="L1132" s="1"/>
      <c r="M1132" s="1"/>
    </row>
    <row r="1133" spans="12:13" x14ac:dyDescent="0.2">
      <c r="L1133" s="1"/>
      <c r="M1133" s="1"/>
    </row>
    <row r="1134" spans="12:13" x14ac:dyDescent="0.2">
      <c r="L1134" s="1"/>
      <c r="M1134" s="1"/>
    </row>
    <row r="1135" spans="12:13" x14ac:dyDescent="0.2">
      <c r="L1135" s="1"/>
      <c r="M1135" s="1"/>
    </row>
    <row r="1136" spans="12:13" x14ac:dyDescent="0.2">
      <c r="L1136" s="1"/>
      <c r="M1136" s="1"/>
    </row>
    <row r="1137" spans="12:13" x14ac:dyDescent="0.2">
      <c r="L1137" s="1"/>
      <c r="M1137" s="1"/>
    </row>
    <row r="1138" spans="12:13" x14ac:dyDescent="0.2">
      <c r="L1138" s="1"/>
      <c r="M1138" s="1"/>
    </row>
    <row r="1139" spans="12:13" x14ac:dyDescent="0.2">
      <c r="L1139" s="1"/>
      <c r="M1139" s="1"/>
    </row>
    <row r="1140" spans="12:13" x14ac:dyDescent="0.2">
      <c r="L1140" s="1"/>
      <c r="M1140" s="1"/>
    </row>
    <row r="1141" spans="12:13" x14ac:dyDescent="0.2">
      <c r="L1141" s="1"/>
      <c r="M1141" s="1"/>
    </row>
    <row r="1142" spans="12:13" x14ac:dyDescent="0.2">
      <c r="L1142" s="1"/>
      <c r="M1142" s="1"/>
    </row>
    <row r="1143" spans="12:13" x14ac:dyDescent="0.2">
      <c r="L1143" s="1"/>
      <c r="M1143" s="1"/>
    </row>
    <row r="1144" spans="12:13" x14ac:dyDescent="0.2">
      <c r="L1144" s="1"/>
      <c r="M1144" s="1"/>
    </row>
    <row r="1145" spans="12:13" x14ac:dyDescent="0.2">
      <c r="L1145" s="1"/>
      <c r="M1145" s="1"/>
    </row>
    <row r="1146" spans="12:13" x14ac:dyDescent="0.2">
      <c r="L1146" s="1"/>
      <c r="M1146" s="1"/>
    </row>
    <row r="1147" spans="12:13" x14ac:dyDescent="0.2">
      <c r="L1147" s="1"/>
      <c r="M1147" s="1"/>
    </row>
    <row r="1148" spans="12:13" x14ac:dyDescent="0.2">
      <c r="L1148" s="1"/>
      <c r="M1148" s="1"/>
    </row>
    <row r="1149" spans="12:13" x14ac:dyDescent="0.2">
      <c r="L1149" s="1"/>
      <c r="M1149" s="1"/>
    </row>
    <row r="1150" spans="12:13" x14ac:dyDescent="0.2">
      <c r="L1150" s="1"/>
      <c r="M1150" s="1"/>
    </row>
    <row r="1151" spans="12:13" x14ac:dyDescent="0.2">
      <c r="L1151" s="1"/>
      <c r="M1151" s="1"/>
    </row>
    <row r="1152" spans="12:13" x14ac:dyDescent="0.2">
      <c r="L1152" s="1"/>
      <c r="M1152" s="1"/>
    </row>
    <row r="1153" spans="12:13" x14ac:dyDescent="0.2">
      <c r="L1153" s="1"/>
      <c r="M1153" s="1"/>
    </row>
    <row r="1154" spans="12:13" x14ac:dyDescent="0.2">
      <c r="L1154" s="1"/>
      <c r="M1154" s="1"/>
    </row>
    <row r="1155" spans="12:13" x14ac:dyDescent="0.2">
      <c r="L1155" s="1"/>
      <c r="M1155" s="1"/>
    </row>
    <row r="1156" spans="12:13" x14ac:dyDescent="0.2">
      <c r="L1156" s="1"/>
      <c r="M1156" s="1"/>
    </row>
    <row r="1157" spans="12:13" x14ac:dyDescent="0.2">
      <c r="L1157" s="1"/>
      <c r="M1157" s="1"/>
    </row>
    <row r="1158" spans="12:13" x14ac:dyDescent="0.2">
      <c r="L1158" s="1"/>
      <c r="M1158" s="1"/>
    </row>
    <row r="1159" spans="12:13" x14ac:dyDescent="0.2">
      <c r="L1159" s="1"/>
      <c r="M1159" s="1"/>
    </row>
    <row r="1160" spans="12:13" x14ac:dyDescent="0.2">
      <c r="L1160" s="1"/>
      <c r="M1160" s="1"/>
    </row>
    <row r="1161" spans="12:13" x14ac:dyDescent="0.2">
      <c r="L1161" s="1"/>
      <c r="M1161" s="1"/>
    </row>
    <row r="1162" spans="12:13" x14ac:dyDescent="0.2">
      <c r="L1162" s="1"/>
      <c r="M1162" s="1"/>
    </row>
    <row r="1163" spans="12:13" x14ac:dyDescent="0.2">
      <c r="L1163" s="1"/>
      <c r="M1163" s="1"/>
    </row>
    <row r="1164" spans="12:13" x14ac:dyDescent="0.2">
      <c r="L1164" s="1"/>
      <c r="M1164" s="1"/>
    </row>
    <row r="1165" spans="12:13" x14ac:dyDescent="0.2">
      <c r="L1165" s="1"/>
      <c r="M1165" s="1"/>
    </row>
    <row r="1166" spans="12:13" x14ac:dyDescent="0.2">
      <c r="L1166" s="1"/>
      <c r="M1166" s="1"/>
    </row>
    <row r="1167" spans="12:13" x14ac:dyDescent="0.2">
      <c r="L1167" s="1"/>
      <c r="M1167" s="1"/>
    </row>
    <row r="1168" spans="12:13" x14ac:dyDescent="0.2">
      <c r="L1168" s="1"/>
      <c r="M1168" s="1"/>
    </row>
    <row r="1169" spans="12:13" x14ac:dyDescent="0.2">
      <c r="L1169" s="1"/>
      <c r="M1169" s="1"/>
    </row>
    <row r="1170" spans="12:13" x14ac:dyDescent="0.2">
      <c r="L1170" s="1"/>
      <c r="M1170" s="1"/>
    </row>
    <row r="1171" spans="12:13" x14ac:dyDescent="0.2">
      <c r="L1171" s="1"/>
      <c r="M1171" s="1"/>
    </row>
    <row r="1172" spans="12:13" x14ac:dyDescent="0.2">
      <c r="L1172" s="1"/>
      <c r="M1172" s="1"/>
    </row>
    <row r="1173" spans="12:13" x14ac:dyDescent="0.2">
      <c r="L1173" s="1"/>
      <c r="M1173" s="1"/>
    </row>
    <row r="1174" spans="12:13" x14ac:dyDescent="0.2">
      <c r="L1174" s="1"/>
      <c r="M1174" s="1"/>
    </row>
    <row r="1175" spans="12:13" x14ac:dyDescent="0.2">
      <c r="L1175" s="1"/>
      <c r="M1175" s="1"/>
    </row>
    <row r="1176" spans="12:13" x14ac:dyDescent="0.2">
      <c r="L1176" s="1"/>
      <c r="M1176" s="1"/>
    </row>
    <row r="1177" spans="12:13" x14ac:dyDescent="0.2">
      <c r="L1177" s="1"/>
      <c r="M1177" s="1"/>
    </row>
    <row r="1178" spans="12:13" x14ac:dyDescent="0.2">
      <c r="L1178" s="1"/>
      <c r="M1178" s="1"/>
    </row>
    <row r="1179" spans="12:13" x14ac:dyDescent="0.2">
      <c r="L1179" s="1"/>
      <c r="M1179" s="1"/>
    </row>
    <row r="1180" spans="12:13" x14ac:dyDescent="0.2">
      <c r="L1180" s="1"/>
      <c r="M1180" s="1"/>
    </row>
    <row r="1181" spans="12:13" x14ac:dyDescent="0.2">
      <c r="L1181" s="1"/>
      <c r="M1181" s="1"/>
    </row>
    <row r="1182" spans="12:13" x14ac:dyDescent="0.2">
      <c r="L1182" s="1"/>
      <c r="M1182" s="1"/>
    </row>
    <row r="1183" spans="12:13" x14ac:dyDescent="0.2">
      <c r="L1183" s="1"/>
      <c r="M1183" s="1"/>
    </row>
    <row r="1184" spans="12:13" x14ac:dyDescent="0.2">
      <c r="L1184" s="1"/>
      <c r="M1184" s="1"/>
    </row>
    <row r="1185" spans="12:13" x14ac:dyDescent="0.2">
      <c r="L1185" s="1"/>
      <c r="M1185" s="1"/>
    </row>
    <row r="1186" spans="12:13" x14ac:dyDescent="0.2">
      <c r="L1186" s="1"/>
      <c r="M1186" s="1"/>
    </row>
    <row r="1187" spans="12:13" x14ac:dyDescent="0.2">
      <c r="L1187" s="1"/>
      <c r="M1187" s="1"/>
    </row>
    <row r="1188" spans="12:13" x14ac:dyDescent="0.2">
      <c r="L1188" s="1"/>
      <c r="M1188" s="1"/>
    </row>
    <row r="1189" spans="12:13" x14ac:dyDescent="0.2">
      <c r="L1189" s="1"/>
      <c r="M1189" s="1"/>
    </row>
    <row r="1190" spans="12:13" x14ac:dyDescent="0.2">
      <c r="L1190" s="1"/>
      <c r="M1190" s="1"/>
    </row>
    <row r="1191" spans="12:13" x14ac:dyDescent="0.2">
      <c r="L1191" s="1"/>
      <c r="M1191" s="1"/>
    </row>
    <row r="1192" spans="12:13" x14ac:dyDescent="0.2">
      <c r="L1192" s="1"/>
      <c r="M1192" s="1"/>
    </row>
    <row r="1193" spans="12:13" x14ac:dyDescent="0.2">
      <c r="L1193" s="1"/>
      <c r="M1193" s="1"/>
    </row>
    <row r="1194" spans="12:13" x14ac:dyDescent="0.2">
      <c r="L1194" s="1"/>
      <c r="M1194" s="1"/>
    </row>
    <row r="1195" spans="12:13" x14ac:dyDescent="0.2">
      <c r="L1195" s="1"/>
      <c r="M1195" s="1"/>
    </row>
    <row r="1196" spans="12:13" x14ac:dyDescent="0.2">
      <c r="L1196" s="1"/>
      <c r="M1196" s="1"/>
    </row>
    <row r="1197" spans="12:13" x14ac:dyDescent="0.2">
      <c r="L1197" s="1"/>
      <c r="M1197" s="1"/>
    </row>
    <row r="1198" spans="12:13" x14ac:dyDescent="0.2">
      <c r="L1198" s="1"/>
      <c r="M1198" s="1"/>
    </row>
    <row r="1199" spans="12:13" x14ac:dyDescent="0.2">
      <c r="L1199" s="1"/>
      <c r="M1199" s="1"/>
    </row>
    <row r="1200" spans="12:13" x14ac:dyDescent="0.2">
      <c r="L1200" s="1"/>
      <c r="M1200" s="1"/>
    </row>
    <row r="1201" spans="12:13" x14ac:dyDescent="0.2">
      <c r="L1201" s="1"/>
      <c r="M1201" s="1"/>
    </row>
    <row r="1202" spans="12:13" x14ac:dyDescent="0.2">
      <c r="L1202" s="1"/>
      <c r="M1202" s="1"/>
    </row>
    <row r="1203" spans="12:13" x14ac:dyDescent="0.2">
      <c r="L1203" s="1"/>
      <c r="M1203" s="1"/>
    </row>
    <row r="1204" spans="12:13" x14ac:dyDescent="0.2">
      <c r="L1204" s="1"/>
      <c r="M1204" s="1"/>
    </row>
    <row r="1205" spans="12:13" x14ac:dyDescent="0.2">
      <c r="L1205" s="1"/>
      <c r="M1205" s="1"/>
    </row>
    <row r="1206" spans="12:13" x14ac:dyDescent="0.2">
      <c r="L1206" s="1"/>
      <c r="M1206" s="1"/>
    </row>
    <row r="1207" spans="12:13" x14ac:dyDescent="0.2">
      <c r="L1207" s="1"/>
      <c r="M1207" s="1"/>
    </row>
    <row r="1208" spans="12:13" x14ac:dyDescent="0.2">
      <c r="L1208" s="1"/>
      <c r="M1208" s="1"/>
    </row>
    <row r="1209" spans="12:13" x14ac:dyDescent="0.2">
      <c r="L1209" s="1"/>
      <c r="M1209" s="1"/>
    </row>
    <row r="1210" spans="12:13" x14ac:dyDescent="0.2">
      <c r="L1210" s="1"/>
      <c r="M1210" s="1"/>
    </row>
    <row r="1211" spans="12:13" x14ac:dyDescent="0.2">
      <c r="L1211" s="1"/>
      <c r="M1211" s="1"/>
    </row>
    <row r="1212" spans="12:13" x14ac:dyDescent="0.2">
      <c r="L1212" s="1"/>
      <c r="M1212" s="1"/>
    </row>
    <row r="1213" spans="12:13" x14ac:dyDescent="0.2">
      <c r="L1213" s="1"/>
      <c r="M1213" s="1"/>
    </row>
    <row r="1214" spans="12:13" x14ac:dyDescent="0.2">
      <c r="L1214" s="1"/>
      <c r="M1214" s="1"/>
    </row>
    <row r="1215" spans="12:13" x14ac:dyDescent="0.2">
      <c r="L1215" s="1"/>
      <c r="M1215" s="1"/>
    </row>
    <row r="1216" spans="12:13" x14ac:dyDescent="0.2">
      <c r="L1216" s="1"/>
      <c r="M1216" s="1"/>
    </row>
    <row r="1217" spans="12:13" x14ac:dyDescent="0.2">
      <c r="L1217" s="1"/>
      <c r="M1217" s="1"/>
    </row>
    <row r="1218" spans="12:13" x14ac:dyDescent="0.2">
      <c r="L1218" s="1"/>
      <c r="M1218" s="1"/>
    </row>
    <row r="1219" spans="12:13" x14ac:dyDescent="0.2">
      <c r="L1219" s="1"/>
      <c r="M1219" s="1"/>
    </row>
    <row r="1220" spans="12:13" x14ac:dyDescent="0.2">
      <c r="L1220" s="1"/>
      <c r="M1220" s="1"/>
    </row>
    <row r="1221" spans="12:13" x14ac:dyDescent="0.2">
      <c r="L1221" s="1"/>
      <c r="M1221" s="1"/>
    </row>
    <row r="1222" spans="12:13" x14ac:dyDescent="0.2">
      <c r="L1222" s="1"/>
      <c r="M1222" s="1"/>
    </row>
    <row r="1223" spans="12:13" x14ac:dyDescent="0.2">
      <c r="L1223" s="1"/>
      <c r="M1223" s="1"/>
    </row>
    <row r="1224" spans="12:13" x14ac:dyDescent="0.2">
      <c r="L1224" s="1"/>
      <c r="M1224" s="1"/>
    </row>
    <row r="1225" spans="12:13" x14ac:dyDescent="0.2">
      <c r="L1225" s="1"/>
      <c r="M1225" s="1"/>
    </row>
    <row r="1226" spans="12:13" x14ac:dyDescent="0.2">
      <c r="L1226" s="1"/>
      <c r="M1226" s="1"/>
    </row>
    <row r="1227" spans="12:13" x14ac:dyDescent="0.2">
      <c r="L1227" s="1"/>
      <c r="M1227" s="1"/>
    </row>
    <row r="1228" spans="12:13" x14ac:dyDescent="0.2">
      <c r="L1228" s="1"/>
      <c r="M1228" s="1"/>
    </row>
    <row r="1229" spans="12:13" x14ac:dyDescent="0.2">
      <c r="L1229" s="1"/>
      <c r="M1229" s="1"/>
    </row>
    <row r="1230" spans="12:13" x14ac:dyDescent="0.2">
      <c r="L1230" s="1"/>
      <c r="M1230" s="1"/>
    </row>
    <row r="1231" spans="12:13" x14ac:dyDescent="0.2">
      <c r="L1231" s="1"/>
      <c r="M1231" s="1"/>
    </row>
    <row r="1232" spans="12:13" x14ac:dyDescent="0.2">
      <c r="L1232" s="1"/>
      <c r="M1232" s="1"/>
    </row>
    <row r="1233" spans="12:13" x14ac:dyDescent="0.2">
      <c r="L1233" s="1"/>
      <c r="M1233" s="1"/>
    </row>
    <row r="1234" spans="12:13" x14ac:dyDescent="0.2">
      <c r="L1234" s="1"/>
      <c r="M1234" s="1"/>
    </row>
    <row r="1235" spans="12:13" x14ac:dyDescent="0.2">
      <c r="L1235" s="1"/>
      <c r="M1235" s="1"/>
    </row>
    <row r="1236" spans="12:13" x14ac:dyDescent="0.2">
      <c r="L1236" s="1"/>
      <c r="M1236" s="1"/>
    </row>
    <row r="1237" spans="12:13" x14ac:dyDescent="0.2">
      <c r="L1237" s="1"/>
      <c r="M1237" s="1"/>
    </row>
    <row r="1238" spans="12:13" x14ac:dyDescent="0.2">
      <c r="L1238" s="1"/>
      <c r="M1238" s="1"/>
    </row>
    <row r="1239" spans="12:13" x14ac:dyDescent="0.2">
      <c r="L1239" s="1"/>
      <c r="M1239" s="1"/>
    </row>
    <row r="1240" spans="12:13" x14ac:dyDescent="0.2">
      <c r="L1240" s="1"/>
      <c r="M1240" s="1"/>
    </row>
    <row r="1241" spans="12:13" x14ac:dyDescent="0.2">
      <c r="L1241" s="1"/>
      <c r="M1241" s="1"/>
    </row>
    <row r="1242" spans="12:13" x14ac:dyDescent="0.2">
      <c r="L1242" s="1"/>
      <c r="M1242" s="1"/>
    </row>
    <row r="1243" spans="12:13" x14ac:dyDescent="0.2">
      <c r="L1243" s="1"/>
      <c r="M1243" s="1"/>
    </row>
    <row r="1244" spans="12:13" x14ac:dyDescent="0.2">
      <c r="L1244" s="1"/>
      <c r="M1244" s="1"/>
    </row>
    <row r="1245" spans="12:13" x14ac:dyDescent="0.2">
      <c r="L1245" s="1"/>
      <c r="M1245" s="1"/>
    </row>
    <row r="1246" spans="12:13" x14ac:dyDescent="0.2">
      <c r="L1246" s="1"/>
      <c r="M1246" s="1"/>
    </row>
    <row r="1247" spans="12:13" x14ac:dyDescent="0.2">
      <c r="L1247" s="1"/>
      <c r="M1247" s="1"/>
    </row>
    <row r="1248" spans="12:13" x14ac:dyDescent="0.2">
      <c r="L1248" s="1"/>
      <c r="M1248" s="1"/>
    </row>
    <row r="1249" spans="12:13" x14ac:dyDescent="0.2">
      <c r="L1249" s="1"/>
      <c r="M1249" s="1"/>
    </row>
    <row r="1250" spans="12:13" x14ac:dyDescent="0.2">
      <c r="L1250" s="1"/>
      <c r="M1250" s="1"/>
    </row>
    <row r="1251" spans="12:13" x14ac:dyDescent="0.2">
      <c r="L1251" s="1"/>
      <c r="M1251" s="1"/>
    </row>
    <row r="1252" spans="12:13" x14ac:dyDescent="0.2">
      <c r="L1252" s="1"/>
      <c r="M1252" s="1"/>
    </row>
    <row r="1253" spans="12:13" x14ac:dyDescent="0.2">
      <c r="L1253" s="1"/>
      <c r="M1253" s="1"/>
    </row>
    <row r="1254" spans="12:13" x14ac:dyDescent="0.2">
      <c r="L1254" s="1"/>
      <c r="M1254" s="1"/>
    </row>
    <row r="1255" spans="12:13" x14ac:dyDescent="0.2">
      <c r="L1255" s="1"/>
      <c r="M1255" s="1"/>
    </row>
    <row r="1256" spans="12:13" x14ac:dyDescent="0.2">
      <c r="L1256" s="1"/>
      <c r="M1256" s="1"/>
    </row>
    <row r="1257" spans="12:13" x14ac:dyDescent="0.2">
      <c r="L1257" s="1"/>
      <c r="M1257" s="1"/>
    </row>
    <row r="1258" spans="12:13" x14ac:dyDescent="0.2">
      <c r="L1258" s="1"/>
      <c r="M1258" s="1"/>
    </row>
    <row r="1259" spans="12:13" x14ac:dyDescent="0.2">
      <c r="L1259" s="1"/>
      <c r="M1259" s="1"/>
    </row>
    <row r="1260" spans="12:13" x14ac:dyDescent="0.2">
      <c r="L1260" s="1"/>
      <c r="M1260" s="1"/>
    </row>
    <row r="1261" spans="12:13" x14ac:dyDescent="0.2">
      <c r="L1261" s="1"/>
      <c r="M1261" s="1"/>
    </row>
    <row r="1262" spans="12:13" x14ac:dyDescent="0.2">
      <c r="L1262" s="1"/>
      <c r="M1262" s="1"/>
    </row>
    <row r="1263" spans="12:13" x14ac:dyDescent="0.2">
      <c r="L1263" s="1"/>
      <c r="M1263" s="1"/>
    </row>
    <row r="1264" spans="12:13" x14ac:dyDescent="0.2">
      <c r="L1264" s="1"/>
      <c r="M1264" s="1"/>
    </row>
    <row r="1265" spans="12:13" x14ac:dyDescent="0.2">
      <c r="L1265" s="1"/>
      <c r="M1265" s="1"/>
    </row>
    <row r="1266" spans="12:13" x14ac:dyDescent="0.2">
      <c r="L1266" s="1"/>
      <c r="M1266" s="1"/>
    </row>
    <row r="1267" spans="12:13" x14ac:dyDescent="0.2">
      <c r="L1267" s="1"/>
      <c r="M1267" s="1"/>
    </row>
    <row r="1268" spans="12:13" x14ac:dyDescent="0.2">
      <c r="L1268" s="1"/>
      <c r="M1268" s="1"/>
    </row>
    <row r="1269" spans="12:13" x14ac:dyDescent="0.2">
      <c r="L1269" s="1"/>
      <c r="M1269" s="1"/>
    </row>
    <row r="1270" spans="12:13" x14ac:dyDescent="0.2">
      <c r="L1270" s="1"/>
      <c r="M1270" s="1"/>
    </row>
    <row r="1271" spans="12:13" x14ac:dyDescent="0.2">
      <c r="L1271" s="1"/>
      <c r="M1271" s="1"/>
    </row>
    <row r="1272" spans="12:13" x14ac:dyDescent="0.2">
      <c r="L1272" s="1"/>
      <c r="M1272" s="1"/>
    </row>
    <row r="1273" spans="12:13" x14ac:dyDescent="0.2">
      <c r="L1273" s="1"/>
      <c r="M1273" s="1"/>
    </row>
    <row r="1274" spans="12:13" x14ac:dyDescent="0.2">
      <c r="L1274" s="1"/>
      <c r="M1274" s="1"/>
    </row>
    <row r="1275" spans="12:13" x14ac:dyDescent="0.2">
      <c r="L1275" s="1"/>
      <c r="M1275" s="1"/>
    </row>
    <row r="1276" spans="12:13" x14ac:dyDescent="0.2">
      <c r="L1276" s="1"/>
      <c r="M1276" s="1"/>
    </row>
    <row r="1277" spans="12:13" x14ac:dyDescent="0.2">
      <c r="L1277" s="1"/>
      <c r="M1277" s="1"/>
    </row>
    <row r="1278" spans="12:13" x14ac:dyDescent="0.2">
      <c r="L1278" s="1"/>
      <c r="M1278" s="1"/>
    </row>
    <row r="1279" spans="12:13" x14ac:dyDescent="0.2">
      <c r="L1279" s="1"/>
      <c r="M1279" s="1"/>
    </row>
    <row r="1280" spans="12:13" x14ac:dyDescent="0.2">
      <c r="L1280" s="1"/>
      <c r="M1280" s="1"/>
    </row>
    <row r="1281" spans="12:13" x14ac:dyDescent="0.2">
      <c r="L1281" s="1"/>
      <c r="M1281" s="1"/>
    </row>
    <row r="1282" spans="12:13" x14ac:dyDescent="0.2">
      <c r="L1282" s="1"/>
      <c r="M1282" s="1"/>
    </row>
    <row r="1283" spans="12:13" x14ac:dyDescent="0.2">
      <c r="L1283" s="1"/>
      <c r="M1283" s="1"/>
    </row>
    <row r="1284" spans="12:13" x14ac:dyDescent="0.2">
      <c r="L1284" s="1"/>
      <c r="M1284" s="1"/>
    </row>
    <row r="1285" spans="12:13" x14ac:dyDescent="0.2">
      <c r="L1285" s="1"/>
      <c r="M1285" s="1"/>
    </row>
    <row r="1286" spans="12:13" x14ac:dyDescent="0.2">
      <c r="L1286" s="1"/>
      <c r="M1286" s="1"/>
    </row>
    <row r="1287" spans="12:13" x14ac:dyDescent="0.2">
      <c r="L1287" s="1"/>
      <c r="M1287" s="1"/>
    </row>
    <row r="1288" spans="12:13" x14ac:dyDescent="0.2">
      <c r="L1288" s="1"/>
      <c r="M1288" s="1"/>
    </row>
    <row r="1289" spans="12:13" x14ac:dyDescent="0.2">
      <c r="L1289" s="1"/>
      <c r="M1289" s="1"/>
    </row>
    <row r="1290" spans="12:13" x14ac:dyDescent="0.2">
      <c r="L1290" s="1"/>
      <c r="M1290" s="1"/>
    </row>
    <row r="1291" spans="12:13" x14ac:dyDescent="0.2">
      <c r="L1291" s="1"/>
      <c r="M1291" s="1"/>
    </row>
    <row r="1292" spans="12:13" x14ac:dyDescent="0.2">
      <c r="L1292" s="1"/>
      <c r="M1292" s="1"/>
    </row>
    <row r="1293" spans="12:13" x14ac:dyDescent="0.2">
      <c r="L1293" s="1"/>
      <c r="M1293" s="1"/>
    </row>
    <row r="1294" spans="12:13" x14ac:dyDescent="0.2">
      <c r="L1294" s="1"/>
      <c r="M1294" s="1"/>
    </row>
    <row r="1295" spans="12:13" x14ac:dyDescent="0.2">
      <c r="L1295" s="1"/>
      <c r="M1295" s="1"/>
    </row>
    <row r="1296" spans="12:13" x14ac:dyDescent="0.2">
      <c r="L1296" s="1"/>
      <c r="M1296" s="1"/>
    </row>
    <row r="1297" spans="12:13" x14ac:dyDescent="0.2">
      <c r="L1297" s="1"/>
      <c r="M1297" s="1"/>
    </row>
    <row r="1298" spans="12:13" x14ac:dyDescent="0.2">
      <c r="L1298" s="1"/>
      <c r="M1298" s="1"/>
    </row>
    <row r="1299" spans="12:13" x14ac:dyDescent="0.2">
      <c r="L1299" s="1"/>
      <c r="M1299" s="1"/>
    </row>
    <row r="1300" spans="12:13" x14ac:dyDescent="0.2">
      <c r="L1300" s="1"/>
      <c r="M1300" s="1"/>
    </row>
    <row r="1301" spans="12:13" x14ac:dyDescent="0.2">
      <c r="L1301" s="1"/>
      <c r="M1301" s="1"/>
    </row>
    <row r="1302" spans="12:13" x14ac:dyDescent="0.2">
      <c r="L1302" s="1"/>
      <c r="M1302" s="1"/>
    </row>
    <row r="1303" spans="12:13" x14ac:dyDescent="0.2">
      <c r="L1303" s="1"/>
      <c r="M1303" s="1"/>
    </row>
    <row r="1304" spans="12:13" x14ac:dyDescent="0.2">
      <c r="L1304" s="1"/>
      <c r="M1304" s="1"/>
    </row>
    <row r="1305" spans="12:13" x14ac:dyDescent="0.2">
      <c r="L1305" s="1"/>
      <c r="M1305" s="1"/>
    </row>
    <row r="1306" spans="12:13" x14ac:dyDescent="0.2">
      <c r="L1306" s="1"/>
      <c r="M1306" s="1"/>
    </row>
    <row r="1307" spans="12:13" x14ac:dyDescent="0.2">
      <c r="L1307" s="1"/>
      <c r="M1307" s="1"/>
    </row>
    <row r="1308" spans="12:13" x14ac:dyDescent="0.2">
      <c r="L1308" s="1"/>
      <c r="M1308" s="1"/>
    </row>
    <row r="1309" spans="12:13" x14ac:dyDescent="0.2">
      <c r="L1309" s="1"/>
      <c r="M1309" s="1"/>
    </row>
    <row r="1310" spans="12:13" x14ac:dyDescent="0.2">
      <c r="L1310" s="1"/>
      <c r="M1310" s="1"/>
    </row>
    <row r="1311" spans="12:13" x14ac:dyDescent="0.2">
      <c r="L1311" s="1"/>
      <c r="M1311" s="1"/>
    </row>
    <row r="1312" spans="12:13" x14ac:dyDescent="0.2">
      <c r="L1312" s="1"/>
      <c r="M1312" s="1"/>
    </row>
    <row r="1313" spans="12:13" x14ac:dyDescent="0.2">
      <c r="L1313" s="1"/>
      <c r="M1313" s="1"/>
    </row>
    <row r="1314" spans="12:13" x14ac:dyDescent="0.2">
      <c r="L1314" s="1"/>
      <c r="M1314" s="1"/>
    </row>
    <row r="1315" spans="12:13" x14ac:dyDescent="0.2">
      <c r="L1315" s="1"/>
      <c r="M1315" s="1"/>
    </row>
    <row r="1316" spans="12:13" x14ac:dyDescent="0.2">
      <c r="L1316" s="1"/>
      <c r="M1316" s="1"/>
    </row>
    <row r="1317" spans="12:13" x14ac:dyDescent="0.2">
      <c r="L1317" s="1"/>
      <c r="M1317" s="1"/>
    </row>
    <row r="1318" spans="12:13" x14ac:dyDescent="0.2">
      <c r="L1318" s="1"/>
      <c r="M1318" s="1"/>
    </row>
    <row r="1319" spans="12:13" x14ac:dyDescent="0.2">
      <c r="L1319" s="1"/>
      <c r="M1319" s="1"/>
    </row>
    <row r="1320" spans="12:13" x14ac:dyDescent="0.2">
      <c r="L1320" s="1"/>
      <c r="M1320" s="1"/>
    </row>
    <row r="1321" spans="12:13" x14ac:dyDescent="0.2">
      <c r="L1321" s="1"/>
      <c r="M1321" s="1"/>
    </row>
    <row r="1322" spans="12:13" x14ac:dyDescent="0.2">
      <c r="L1322" s="1"/>
      <c r="M1322" s="1"/>
    </row>
    <row r="1323" spans="12:13" x14ac:dyDescent="0.2">
      <c r="L1323" s="1"/>
      <c r="M1323" s="1"/>
    </row>
    <row r="1324" spans="12:13" x14ac:dyDescent="0.2">
      <c r="L1324" s="1"/>
      <c r="M1324" s="1"/>
    </row>
    <row r="1325" spans="12:13" x14ac:dyDescent="0.2">
      <c r="L1325" s="1"/>
      <c r="M1325" s="1"/>
    </row>
    <row r="1326" spans="12:13" x14ac:dyDescent="0.2">
      <c r="L1326" s="1"/>
      <c r="M1326" s="1"/>
    </row>
    <row r="1327" spans="12:13" x14ac:dyDescent="0.2">
      <c r="L1327" s="1"/>
      <c r="M1327" s="1"/>
    </row>
    <row r="1328" spans="12:13" x14ac:dyDescent="0.2">
      <c r="L1328" s="1"/>
      <c r="M1328" s="1"/>
    </row>
    <row r="1329" spans="12:13" x14ac:dyDescent="0.2">
      <c r="L1329" s="1"/>
      <c r="M1329" s="1"/>
    </row>
    <row r="1330" spans="12:13" x14ac:dyDescent="0.2">
      <c r="L1330" s="1"/>
      <c r="M1330" s="1"/>
    </row>
    <row r="1331" spans="12:13" x14ac:dyDescent="0.2">
      <c r="L1331" s="1"/>
      <c r="M1331" s="1"/>
    </row>
    <row r="1332" spans="12:13" x14ac:dyDescent="0.2">
      <c r="L1332" s="1"/>
      <c r="M1332" s="1"/>
    </row>
    <row r="1333" spans="12:13" x14ac:dyDescent="0.2">
      <c r="L1333" s="1"/>
      <c r="M1333" s="1"/>
    </row>
    <row r="1334" spans="12:13" x14ac:dyDescent="0.2">
      <c r="L1334" s="1"/>
      <c r="M1334" s="1"/>
    </row>
    <row r="1335" spans="12:13" x14ac:dyDescent="0.2">
      <c r="L1335" s="1"/>
      <c r="M1335" s="1"/>
    </row>
    <row r="1336" spans="12:13" x14ac:dyDescent="0.2">
      <c r="L1336" s="1"/>
      <c r="M1336" s="1"/>
    </row>
    <row r="1337" spans="12:13" x14ac:dyDescent="0.2">
      <c r="L1337" s="1"/>
      <c r="M1337" s="1"/>
    </row>
    <row r="1338" spans="12:13" x14ac:dyDescent="0.2">
      <c r="L1338" s="1"/>
      <c r="M1338" s="1"/>
    </row>
    <row r="1339" spans="12:13" x14ac:dyDescent="0.2">
      <c r="L1339" s="1"/>
      <c r="M1339" s="1"/>
    </row>
    <row r="1340" spans="12:13" x14ac:dyDescent="0.2">
      <c r="L1340" s="1"/>
      <c r="M1340" s="1"/>
    </row>
    <row r="1341" spans="12:13" x14ac:dyDescent="0.2">
      <c r="L1341" s="1"/>
      <c r="M1341" s="1"/>
    </row>
    <row r="1342" spans="12:13" x14ac:dyDescent="0.2">
      <c r="L1342" s="1"/>
      <c r="M1342" s="1"/>
    </row>
    <row r="1343" spans="12:13" x14ac:dyDescent="0.2">
      <c r="L1343" s="1"/>
      <c r="M1343" s="1"/>
    </row>
    <row r="1344" spans="12:13" x14ac:dyDescent="0.2">
      <c r="L1344" s="1"/>
      <c r="M1344" s="1"/>
    </row>
    <row r="1345" spans="12:13" x14ac:dyDescent="0.2">
      <c r="L1345" s="1"/>
      <c r="M1345" s="1"/>
    </row>
    <row r="1346" spans="12:13" x14ac:dyDescent="0.2">
      <c r="L1346" s="1"/>
      <c r="M1346" s="1"/>
    </row>
    <row r="1347" spans="12:13" x14ac:dyDescent="0.2">
      <c r="L1347" s="1"/>
      <c r="M1347" s="1"/>
    </row>
    <row r="1348" spans="12:13" x14ac:dyDescent="0.2">
      <c r="L1348" s="1"/>
      <c r="M1348" s="1"/>
    </row>
    <row r="1349" spans="12:13" x14ac:dyDescent="0.2">
      <c r="L1349" s="1"/>
      <c r="M1349" s="1"/>
    </row>
    <row r="1350" spans="12:13" x14ac:dyDescent="0.2">
      <c r="L1350" s="1"/>
      <c r="M1350" s="1"/>
    </row>
    <row r="1351" spans="12:13" x14ac:dyDescent="0.2">
      <c r="L1351" s="1"/>
      <c r="M1351" s="1"/>
    </row>
    <row r="1352" spans="12:13" x14ac:dyDescent="0.2">
      <c r="L1352" s="1"/>
      <c r="M1352" s="1"/>
    </row>
    <row r="1353" spans="12:13" x14ac:dyDescent="0.2">
      <c r="L1353" s="1"/>
      <c r="M1353" s="1"/>
    </row>
    <row r="1354" spans="12:13" x14ac:dyDescent="0.2">
      <c r="L1354" s="1"/>
      <c r="M1354" s="1"/>
    </row>
    <row r="1355" spans="12:13" x14ac:dyDescent="0.2">
      <c r="L1355" s="1"/>
      <c r="M1355" s="1"/>
    </row>
    <row r="1356" spans="12:13" x14ac:dyDescent="0.2">
      <c r="L1356" s="1"/>
      <c r="M1356" s="1"/>
    </row>
    <row r="1357" spans="12:13" x14ac:dyDescent="0.2">
      <c r="L1357" s="1"/>
      <c r="M1357" s="1"/>
    </row>
    <row r="1358" spans="12:13" x14ac:dyDescent="0.2">
      <c r="L1358" s="1"/>
      <c r="M1358" s="1"/>
    </row>
    <row r="1359" spans="12:13" x14ac:dyDescent="0.2">
      <c r="L1359" s="1"/>
      <c r="M1359" s="1"/>
    </row>
    <row r="1360" spans="12:13" x14ac:dyDescent="0.2">
      <c r="L1360" s="1"/>
      <c r="M1360" s="1"/>
    </row>
    <row r="1361" spans="12:13" x14ac:dyDescent="0.2">
      <c r="L1361" s="1"/>
      <c r="M1361" s="1"/>
    </row>
    <row r="1362" spans="12:13" x14ac:dyDescent="0.2">
      <c r="L1362" s="1"/>
      <c r="M1362" s="1"/>
    </row>
    <row r="1363" spans="12:13" x14ac:dyDescent="0.2">
      <c r="L1363" s="1"/>
      <c r="M1363" s="1"/>
    </row>
    <row r="1364" spans="12:13" x14ac:dyDescent="0.2">
      <c r="L1364" s="1"/>
      <c r="M1364" s="1"/>
    </row>
    <row r="1365" spans="12:13" x14ac:dyDescent="0.2">
      <c r="L1365" s="1"/>
      <c r="M1365" s="1"/>
    </row>
    <row r="1366" spans="12:13" x14ac:dyDescent="0.2">
      <c r="L1366" s="1"/>
      <c r="M1366" s="1"/>
    </row>
    <row r="1367" spans="12:13" x14ac:dyDescent="0.2">
      <c r="L1367" s="1"/>
      <c r="M1367" s="1"/>
    </row>
    <row r="1368" spans="12:13" x14ac:dyDescent="0.2">
      <c r="L1368" s="1"/>
      <c r="M1368" s="1"/>
    </row>
    <row r="1369" spans="12:13" x14ac:dyDescent="0.2">
      <c r="L1369" s="1"/>
      <c r="M1369" s="1"/>
    </row>
    <row r="1370" spans="12:13" x14ac:dyDescent="0.2">
      <c r="L1370" s="1"/>
      <c r="M1370" s="1"/>
    </row>
    <row r="1371" spans="12:13" x14ac:dyDescent="0.2">
      <c r="L1371" s="1"/>
      <c r="M1371" s="1"/>
    </row>
    <row r="1372" spans="12:13" x14ac:dyDescent="0.2">
      <c r="L1372" s="1"/>
      <c r="M1372" s="1"/>
    </row>
    <row r="1373" spans="12:13" x14ac:dyDescent="0.2">
      <c r="L1373" s="1"/>
      <c r="M1373" s="1"/>
    </row>
    <row r="1374" spans="12:13" x14ac:dyDescent="0.2">
      <c r="L1374" s="1"/>
      <c r="M1374" s="1"/>
    </row>
    <row r="1375" spans="12:13" x14ac:dyDescent="0.2">
      <c r="L1375" s="1"/>
      <c r="M1375" s="1"/>
    </row>
    <row r="1376" spans="12:13" x14ac:dyDescent="0.2">
      <c r="L1376" s="1"/>
      <c r="M1376" s="1"/>
    </row>
    <row r="1377" spans="12:13" x14ac:dyDescent="0.2">
      <c r="L1377" s="1"/>
      <c r="M1377" s="1"/>
    </row>
    <row r="1378" spans="12:13" x14ac:dyDescent="0.2">
      <c r="L1378" s="1"/>
      <c r="M1378" s="1"/>
    </row>
    <row r="1379" spans="12:13" x14ac:dyDescent="0.2">
      <c r="L1379" s="1"/>
      <c r="M1379" s="1"/>
    </row>
    <row r="1380" spans="12:13" x14ac:dyDescent="0.2">
      <c r="L1380" s="1"/>
      <c r="M1380" s="1"/>
    </row>
    <row r="1381" spans="12:13" x14ac:dyDescent="0.2">
      <c r="L1381" s="1"/>
      <c r="M1381" s="1"/>
    </row>
    <row r="1382" spans="12:13" x14ac:dyDescent="0.2">
      <c r="L1382" s="1"/>
      <c r="M1382" s="1"/>
    </row>
    <row r="1383" spans="12:13" x14ac:dyDescent="0.2">
      <c r="L1383" s="1"/>
      <c r="M1383" s="1"/>
    </row>
    <row r="1384" spans="12:13" x14ac:dyDescent="0.2">
      <c r="L1384" s="1"/>
      <c r="M1384" s="1"/>
    </row>
    <row r="1385" spans="12:13" x14ac:dyDescent="0.2">
      <c r="L1385" s="1"/>
      <c r="M1385" s="1"/>
    </row>
    <row r="1386" spans="12:13" x14ac:dyDescent="0.2">
      <c r="L1386" s="1"/>
      <c r="M1386" s="1"/>
    </row>
    <row r="1387" spans="12:13" x14ac:dyDescent="0.2">
      <c r="L1387" s="1"/>
      <c r="M1387" s="1"/>
    </row>
    <row r="1388" spans="12:13" x14ac:dyDescent="0.2">
      <c r="L1388" s="1"/>
      <c r="M1388" s="1"/>
    </row>
    <row r="1389" spans="12:13" x14ac:dyDescent="0.2">
      <c r="L1389" s="1"/>
      <c r="M1389" s="1"/>
    </row>
    <row r="1390" spans="12:13" x14ac:dyDescent="0.2">
      <c r="L1390" s="1"/>
      <c r="M1390" s="1"/>
    </row>
    <row r="1391" spans="12:13" x14ac:dyDescent="0.2">
      <c r="L1391" s="1"/>
      <c r="M1391" s="1"/>
    </row>
    <row r="1392" spans="12:13" x14ac:dyDescent="0.2">
      <c r="L1392" s="1"/>
      <c r="M1392" s="1"/>
    </row>
    <row r="1393" spans="12:13" x14ac:dyDescent="0.2">
      <c r="L1393" s="1"/>
      <c r="M1393" s="1"/>
    </row>
    <row r="1394" spans="12:13" x14ac:dyDescent="0.2">
      <c r="L1394" s="1"/>
      <c r="M1394" s="1"/>
    </row>
    <row r="1395" spans="12:13" x14ac:dyDescent="0.2">
      <c r="L1395" s="1"/>
      <c r="M1395" s="1"/>
    </row>
    <row r="1396" spans="12:13" x14ac:dyDescent="0.2">
      <c r="L1396" s="1"/>
      <c r="M1396" s="1"/>
    </row>
    <row r="1397" spans="12:13" x14ac:dyDescent="0.2">
      <c r="L1397" s="1"/>
      <c r="M1397" s="1"/>
    </row>
    <row r="1398" spans="12:13" x14ac:dyDescent="0.2">
      <c r="L1398" s="1"/>
      <c r="M1398" s="1"/>
    </row>
    <row r="1399" spans="12:13" x14ac:dyDescent="0.2">
      <c r="L1399" s="1"/>
      <c r="M1399" s="1"/>
    </row>
    <row r="1400" spans="12:13" x14ac:dyDescent="0.2">
      <c r="L1400" s="1"/>
      <c r="M1400" s="1"/>
    </row>
    <row r="1401" spans="12:13" x14ac:dyDescent="0.2">
      <c r="L1401" s="1"/>
      <c r="M1401" s="1"/>
    </row>
    <row r="1402" spans="12:13" x14ac:dyDescent="0.2">
      <c r="L1402" s="1"/>
      <c r="M1402" s="1"/>
    </row>
    <row r="1403" spans="12:13" x14ac:dyDescent="0.2">
      <c r="L1403" s="1"/>
      <c r="M1403" s="1"/>
    </row>
    <row r="1404" spans="12:13" x14ac:dyDescent="0.2">
      <c r="L1404" s="1"/>
      <c r="M1404" s="1"/>
    </row>
    <row r="1405" spans="12:13" x14ac:dyDescent="0.2">
      <c r="L1405" s="1"/>
      <c r="M1405" s="1"/>
    </row>
    <row r="1406" spans="12:13" x14ac:dyDescent="0.2">
      <c r="L1406" s="1"/>
      <c r="M1406" s="1"/>
    </row>
    <row r="1407" spans="12:13" x14ac:dyDescent="0.2">
      <c r="L1407" s="1"/>
      <c r="M1407" s="1"/>
    </row>
    <row r="1408" spans="12:13" x14ac:dyDescent="0.2">
      <c r="L1408" s="1"/>
      <c r="M1408" s="1"/>
    </row>
    <row r="1409" spans="12:13" x14ac:dyDescent="0.2">
      <c r="L1409" s="1"/>
      <c r="M1409" s="1"/>
    </row>
    <row r="1410" spans="12:13" x14ac:dyDescent="0.2">
      <c r="L1410" s="1"/>
      <c r="M1410" s="1"/>
    </row>
    <row r="1411" spans="12:13" x14ac:dyDescent="0.2">
      <c r="L1411" s="1"/>
      <c r="M1411" s="1"/>
    </row>
    <row r="1412" spans="12:13" x14ac:dyDescent="0.2">
      <c r="L1412" s="1"/>
      <c r="M1412" s="1"/>
    </row>
    <row r="1413" spans="12:13" x14ac:dyDescent="0.2">
      <c r="L1413" s="1"/>
      <c r="M1413" s="1"/>
    </row>
    <row r="1414" spans="12:13" x14ac:dyDescent="0.2">
      <c r="L1414" s="1"/>
      <c r="M1414" s="1"/>
    </row>
    <row r="1415" spans="12:13" x14ac:dyDescent="0.2">
      <c r="L1415" s="1"/>
      <c r="M1415" s="1"/>
    </row>
    <row r="1416" spans="12:13" x14ac:dyDescent="0.2">
      <c r="L1416" s="1"/>
      <c r="M1416" s="1"/>
    </row>
    <row r="1417" spans="12:13" x14ac:dyDescent="0.2">
      <c r="L1417" s="1"/>
      <c r="M1417" s="1"/>
    </row>
    <row r="1418" spans="12:13" x14ac:dyDescent="0.2">
      <c r="L1418" s="1"/>
      <c r="M1418" s="1"/>
    </row>
    <row r="1419" spans="12:13" x14ac:dyDescent="0.2">
      <c r="L1419" s="1"/>
      <c r="M1419" s="1"/>
    </row>
    <row r="1420" spans="12:13" x14ac:dyDescent="0.2">
      <c r="L1420" s="1"/>
      <c r="M1420" s="1"/>
    </row>
    <row r="1421" spans="12:13" x14ac:dyDescent="0.2">
      <c r="L1421" s="1"/>
      <c r="M1421" s="1"/>
    </row>
    <row r="1422" spans="12:13" x14ac:dyDescent="0.2">
      <c r="L1422" s="1"/>
      <c r="M1422" s="1"/>
    </row>
    <row r="1423" spans="12:13" x14ac:dyDescent="0.2">
      <c r="L1423" s="1"/>
      <c r="M1423" s="1"/>
    </row>
    <row r="1424" spans="12:13" x14ac:dyDescent="0.2">
      <c r="L1424" s="1"/>
      <c r="M1424" s="1"/>
    </row>
    <row r="1425" spans="12:13" x14ac:dyDescent="0.2">
      <c r="L1425" s="1"/>
      <c r="M1425" s="1"/>
    </row>
    <row r="1426" spans="12:13" x14ac:dyDescent="0.2">
      <c r="L1426" s="1"/>
      <c r="M1426" s="1"/>
    </row>
    <row r="1427" spans="12:13" x14ac:dyDescent="0.2">
      <c r="L1427" s="1"/>
      <c r="M1427" s="1"/>
    </row>
    <row r="1428" spans="12:13" x14ac:dyDescent="0.2">
      <c r="L1428" s="1"/>
      <c r="M1428" s="1"/>
    </row>
    <row r="1429" spans="12:13" x14ac:dyDescent="0.2">
      <c r="L1429" s="1"/>
      <c r="M1429" s="1"/>
    </row>
    <row r="1430" spans="12:13" x14ac:dyDescent="0.2">
      <c r="L1430" s="1"/>
      <c r="M1430" s="1"/>
    </row>
    <row r="1431" spans="12:13" x14ac:dyDescent="0.2">
      <c r="L1431" s="1"/>
      <c r="M1431" s="1"/>
    </row>
    <row r="1432" spans="12:13" x14ac:dyDescent="0.2">
      <c r="L1432" s="1"/>
      <c r="M1432" s="1"/>
    </row>
    <row r="1433" spans="12:13" x14ac:dyDescent="0.2">
      <c r="L1433" s="1"/>
      <c r="M1433" s="1"/>
    </row>
    <row r="1434" spans="12:13" x14ac:dyDescent="0.2">
      <c r="L1434" s="1"/>
      <c r="M1434" s="1"/>
    </row>
    <row r="1435" spans="12:13" x14ac:dyDescent="0.2">
      <c r="L1435" s="1"/>
      <c r="M1435" s="1"/>
    </row>
    <row r="1436" spans="12:13" x14ac:dyDescent="0.2">
      <c r="L1436" s="1"/>
      <c r="M1436" s="1"/>
    </row>
    <row r="1437" spans="12:13" x14ac:dyDescent="0.2">
      <c r="L1437" s="1"/>
      <c r="M1437" s="1"/>
    </row>
    <row r="1438" spans="12:13" x14ac:dyDescent="0.2">
      <c r="L1438" s="1"/>
      <c r="M1438" s="1"/>
    </row>
    <row r="1439" spans="12:13" x14ac:dyDescent="0.2">
      <c r="L1439" s="1"/>
      <c r="M1439" s="1"/>
    </row>
    <row r="1440" spans="12:13" x14ac:dyDescent="0.2">
      <c r="L1440" s="1"/>
      <c r="M1440" s="1"/>
    </row>
    <row r="1441" spans="12:13" x14ac:dyDescent="0.2">
      <c r="L1441" s="1"/>
      <c r="M1441" s="1"/>
    </row>
    <row r="1442" spans="12:13" x14ac:dyDescent="0.2">
      <c r="L1442" s="1"/>
      <c r="M1442" s="1"/>
    </row>
    <row r="1443" spans="12:13" x14ac:dyDescent="0.2">
      <c r="L1443" s="1"/>
      <c r="M1443" s="1"/>
    </row>
    <row r="1444" spans="12:13" x14ac:dyDescent="0.2">
      <c r="L1444" s="1"/>
      <c r="M1444" s="1"/>
    </row>
    <row r="1445" spans="12:13" x14ac:dyDescent="0.2">
      <c r="L1445" s="1"/>
      <c r="M1445" s="1"/>
    </row>
    <row r="1446" spans="12:13" x14ac:dyDescent="0.2">
      <c r="L1446" s="1"/>
      <c r="M1446" s="1"/>
    </row>
    <row r="1447" spans="12:13" x14ac:dyDescent="0.2">
      <c r="L1447" s="1"/>
      <c r="M1447" s="1"/>
    </row>
    <row r="1448" spans="12:13" x14ac:dyDescent="0.2">
      <c r="L1448" s="1"/>
      <c r="M1448" s="1"/>
    </row>
    <row r="1449" spans="12:13" x14ac:dyDescent="0.2">
      <c r="L1449" s="1"/>
      <c r="M1449" s="1"/>
    </row>
    <row r="1450" spans="12:13" x14ac:dyDescent="0.2">
      <c r="L1450" s="1"/>
      <c r="M1450" s="1"/>
    </row>
    <row r="1451" spans="12:13" x14ac:dyDescent="0.2">
      <c r="L1451" s="1"/>
      <c r="M1451" s="1"/>
    </row>
    <row r="1452" spans="12:13" x14ac:dyDescent="0.2">
      <c r="L1452" s="1"/>
      <c r="M1452" s="1"/>
    </row>
    <row r="1453" spans="12:13" x14ac:dyDescent="0.2">
      <c r="L1453" s="1"/>
      <c r="M1453" s="1"/>
    </row>
    <row r="1454" spans="12:13" x14ac:dyDescent="0.2">
      <c r="L1454" s="1"/>
      <c r="M1454" s="1"/>
    </row>
    <row r="1455" spans="12:13" x14ac:dyDescent="0.2">
      <c r="L1455" s="1"/>
      <c r="M1455" s="1"/>
    </row>
    <row r="1456" spans="12:13" x14ac:dyDescent="0.2">
      <c r="L1456" s="1"/>
      <c r="M1456" s="1"/>
    </row>
    <row r="1457" spans="12:13" x14ac:dyDescent="0.2">
      <c r="L1457" s="1"/>
      <c r="M1457" s="1"/>
    </row>
    <row r="1458" spans="12:13" x14ac:dyDescent="0.2">
      <c r="L1458" s="1"/>
      <c r="M1458" s="1"/>
    </row>
    <row r="1459" spans="12:13" x14ac:dyDescent="0.2">
      <c r="L1459" s="1"/>
      <c r="M1459" s="1"/>
    </row>
    <row r="1460" spans="12:13" x14ac:dyDescent="0.2">
      <c r="L1460" s="1"/>
      <c r="M1460" s="1"/>
    </row>
    <row r="1461" spans="12:13" x14ac:dyDescent="0.2">
      <c r="L1461" s="1"/>
      <c r="M1461" s="1"/>
    </row>
    <row r="1462" spans="12:13" x14ac:dyDescent="0.2">
      <c r="L1462" s="1"/>
      <c r="M1462" s="1"/>
    </row>
    <row r="1463" spans="12:13" x14ac:dyDescent="0.2">
      <c r="L1463" s="1"/>
      <c r="M1463" s="1"/>
    </row>
    <row r="1464" spans="12:13" x14ac:dyDescent="0.2">
      <c r="L1464" s="1"/>
      <c r="M1464" s="1"/>
    </row>
    <row r="1465" spans="12:13" x14ac:dyDescent="0.2">
      <c r="L1465" s="1"/>
      <c r="M1465" s="1"/>
    </row>
    <row r="1466" spans="12:13" x14ac:dyDescent="0.2">
      <c r="L1466" s="1"/>
      <c r="M1466" s="1"/>
    </row>
    <row r="1467" spans="12:13" x14ac:dyDescent="0.2">
      <c r="L1467" s="1"/>
      <c r="M1467" s="1"/>
    </row>
    <row r="1468" spans="12:13" x14ac:dyDescent="0.2">
      <c r="L1468" s="1"/>
      <c r="M1468" s="1"/>
    </row>
    <row r="1469" spans="12:13" x14ac:dyDescent="0.2">
      <c r="L1469" s="1"/>
      <c r="M1469" s="1"/>
    </row>
    <row r="1470" spans="12:13" x14ac:dyDescent="0.2">
      <c r="L1470" s="1"/>
      <c r="M1470" s="1"/>
    </row>
    <row r="1471" spans="12:13" x14ac:dyDescent="0.2">
      <c r="L1471" s="1"/>
      <c r="M1471" s="1"/>
    </row>
    <row r="1472" spans="12:13" x14ac:dyDescent="0.2">
      <c r="L1472" s="1"/>
      <c r="M1472" s="1"/>
    </row>
    <row r="1473" spans="12:13" x14ac:dyDescent="0.2">
      <c r="L1473" s="1"/>
      <c r="M1473" s="1"/>
    </row>
    <row r="1474" spans="12:13" x14ac:dyDescent="0.2">
      <c r="L1474" s="1"/>
      <c r="M1474" s="1"/>
    </row>
    <row r="1475" spans="12:13" x14ac:dyDescent="0.2">
      <c r="L1475" s="1"/>
      <c r="M1475" s="1"/>
    </row>
    <row r="1476" spans="12:13" x14ac:dyDescent="0.2">
      <c r="L1476" s="1"/>
      <c r="M1476" s="1"/>
    </row>
    <row r="1477" spans="12:13" x14ac:dyDescent="0.2">
      <c r="L1477" s="1"/>
      <c r="M1477" s="1"/>
    </row>
    <row r="1478" spans="12:13" x14ac:dyDescent="0.2">
      <c r="L1478" s="1"/>
      <c r="M1478" s="1"/>
    </row>
    <row r="1479" spans="12:13" x14ac:dyDescent="0.2">
      <c r="L1479" s="1"/>
      <c r="M1479" s="1"/>
    </row>
    <row r="1480" spans="12:13" x14ac:dyDescent="0.2">
      <c r="L1480" s="1"/>
      <c r="M1480" s="1"/>
    </row>
    <row r="1481" spans="12:13" x14ac:dyDescent="0.2">
      <c r="L1481" s="1"/>
      <c r="M1481" s="1"/>
    </row>
    <row r="1482" spans="12:13" x14ac:dyDescent="0.2">
      <c r="L1482" s="1"/>
      <c r="M1482" s="1"/>
    </row>
    <row r="1483" spans="12:13" x14ac:dyDescent="0.2">
      <c r="L1483" s="1"/>
      <c r="M1483" s="1"/>
    </row>
    <row r="1484" spans="12:13" x14ac:dyDescent="0.2">
      <c r="L1484" s="1"/>
      <c r="M1484" s="1"/>
    </row>
    <row r="1485" spans="12:13" x14ac:dyDescent="0.2">
      <c r="L1485" s="1"/>
      <c r="M1485" s="1"/>
    </row>
    <row r="1486" spans="12:13" x14ac:dyDescent="0.2">
      <c r="L1486" s="1"/>
      <c r="M1486" s="1"/>
    </row>
    <row r="1487" spans="12:13" x14ac:dyDescent="0.2">
      <c r="L1487" s="1"/>
      <c r="M1487" s="1"/>
    </row>
    <row r="1488" spans="12:13" x14ac:dyDescent="0.2">
      <c r="L1488" s="1"/>
      <c r="M1488" s="1"/>
    </row>
    <row r="1489" spans="12:13" x14ac:dyDescent="0.2">
      <c r="L1489" s="1"/>
      <c r="M1489" s="1"/>
    </row>
    <row r="1490" spans="12:13" x14ac:dyDescent="0.2">
      <c r="L1490" s="1"/>
      <c r="M1490" s="1"/>
    </row>
    <row r="1491" spans="12:13" x14ac:dyDescent="0.2">
      <c r="L1491" s="1"/>
      <c r="M1491" s="1"/>
    </row>
    <row r="1492" spans="12:13" x14ac:dyDescent="0.2">
      <c r="L1492" s="1"/>
      <c r="M1492" s="1"/>
    </row>
    <row r="1493" spans="12:13" x14ac:dyDescent="0.2">
      <c r="L1493" s="1"/>
      <c r="M1493" s="1"/>
    </row>
    <row r="1494" spans="12:13" x14ac:dyDescent="0.2">
      <c r="L1494" s="1"/>
      <c r="M1494" s="1"/>
    </row>
    <row r="1495" spans="12:13" x14ac:dyDescent="0.2">
      <c r="L1495" s="1"/>
      <c r="M1495" s="1"/>
    </row>
    <row r="1496" spans="12:13" x14ac:dyDescent="0.2">
      <c r="L1496" s="1"/>
      <c r="M1496" s="1"/>
    </row>
    <row r="1497" spans="12:13" x14ac:dyDescent="0.2">
      <c r="L1497" s="1"/>
      <c r="M1497" s="1"/>
    </row>
    <row r="1498" spans="12:13" x14ac:dyDescent="0.2">
      <c r="L1498" s="1"/>
      <c r="M1498" s="1"/>
    </row>
    <row r="1499" spans="12:13" x14ac:dyDescent="0.2">
      <c r="L1499" s="1"/>
      <c r="M1499" s="1"/>
    </row>
    <row r="1500" spans="12:13" x14ac:dyDescent="0.2">
      <c r="L1500" s="1"/>
      <c r="M1500" s="1"/>
    </row>
    <row r="1501" spans="12:13" x14ac:dyDescent="0.2">
      <c r="L1501" s="1"/>
      <c r="M1501" s="1"/>
    </row>
    <row r="1502" spans="12:13" x14ac:dyDescent="0.2">
      <c r="L1502" s="1"/>
      <c r="M1502" s="1"/>
    </row>
    <row r="1503" spans="12:13" x14ac:dyDescent="0.2">
      <c r="L1503" s="1"/>
      <c r="M1503" s="1"/>
    </row>
    <row r="1504" spans="12:13" x14ac:dyDescent="0.2">
      <c r="L1504" s="1"/>
      <c r="M1504" s="1"/>
    </row>
    <row r="1505" spans="12:13" x14ac:dyDescent="0.2">
      <c r="L1505" s="1"/>
      <c r="M1505" s="1"/>
    </row>
    <row r="1506" spans="12:13" x14ac:dyDescent="0.2">
      <c r="L1506" s="1"/>
      <c r="M1506" s="1"/>
    </row>
    <row r="1507" spans="12:13" x14ac:dyDescent="0.2">
      <c r="L1507" s="1"/>
      <c r="M1507" s="1"/>
    </row>
    <row r="1508" spans="12:13" x14ac:dyDescent="0.2">
      <c r="L1508" s="1"/>
      <c r="M1508" s="1"/>
    </row>
    <row r="1509" spans="12:13" x14ac:dyDescent="0.2">
      <c r="L1509" s="1"/>
      <c r="M1509" s="1"/>
    </row>
    <row r="1510" spans="12:13" x14ac:dyDescent="0.2">
      <c r="L1510" s="1"/>
      <c r="M1510" s="1"/>
    </row>
    <row r="1511" spans="12:13" x14ac:dyDescent="0.2">
      <c r="L1511" s="1"/>
      <c r="M1511" s="1"/>
    </row>
    <row r="1512" spans="12:13" x14ac:dyDescent="0.2">
      <c r="L1512" s="1"/>
      <c r="M1512" s="1"/>
    </row>
    <row r="1513" spans="12:13" x14ac:dyDescent="0.2">
      <c r="L1513" s="1"/>
      <c r="M1513" s="1"/>
    </row>
    <row r="1514" spans="12:13" x14ac:dyDescent="0.2">
      <c r="L1514" s="1"/>
      <c r="M1514" s="1"/>
    </row>
    <row r="1515" spans="12:13" x14ac:dyDescent="0.2">
      <c r="L1515" s="1"/>
      <c r="M1515" s="1"/>
    </row>
    <row r="1516" spans="12:13" x14ac:dyDescent="0.2">
      <c r="L1516" s="1"/>
      <c r="M1516" s="1"/>
    </row>
    <row r="1517" spans="12:13" x14ac:dyDescent="0.2">
      <c r="L1517" s="1"/>
      <c r="M1517" s="1"/>
    </row>
    <row r="1518" spans="12:13" x14ac:dyDescent="0.2">
      <c r="L1518" s="1"/>
      <c r="M1518" s="1"/>
    </row>
    <row r="1519" spans="12:13" x14ac:dyDescent="0.2">
      <c r="L1519" s="1"/>
      <c r="M1519" s="1"/>
    </row>
    <row r="1520" spans="12:13" x14ac:dyDescent="0.2">
      <c r="L1520" s="1"/>
      <c r="M1520" s="1"/>
    </row>
    <row r="1521" spans="12:13" x14ac:dyDescent="0.2">
      <c r="L1521" s="1"/>
      <c r="M1521" s="1"/>
    </row>
    <row r="1522" spans="12:13" x14ac:dyDescent="0.2">
      <c r="L1522" s="1"/>
      <c r="M1522" s="1"/>
    </row>
    <row r="1523" spans="12:13" x14ac:dyDescent="0.2">
      <c r="L1523" s="1"/>
      <c r="M1523" s="1"/>
    </row>
    <row r="1524" spans="12:13" x14ac:dyDescent="0.2">
      <c r="L1524" s="1"/>
      <c r="M1524" s="1"/>
    </row>
    <row r="1525" spans="12:13" x14ac:dyDescent="0.2">
      <c r="L1525" s="1"/>
      <c r="M1525" s="1"/>
    </row>
    <row r="1526" spans="12:13" x14ac:dyDescent="0.2">
      <c r="L1526" s="1"/>
      <c r="M1526" s="1"/>
    </row>
    <row r="1527" spans="12:13" x14ac:dyDescent="0.2">
      <c r="L1527" s="1"/>
      <c r="M1527" s="1"/>
    </row>
    <row r="1528" spans="12:13" x14ac:dyDescent="0.2">
      <c r="L1528" s="1"/>
      <c r="M1528" s="1"/>
    </row>
    <row r="1529" spans="12:13" x14ac:dyDescent="0.2">
      <c r="L1529" s="1"/>
      <c r="M1529" s="1"/>
    </row>
    <row r="1530" spans="12:13" x14ac:dyDescent="0.2">
      <c r="L1530" s="1"/>
      <c r="M1530" s="1"/>
    </row>
    <row r="1531" spans="12:13" x14ac:dyDescent="0.2">
      <c r="L1531" s="1"/>
      <c r="M1531" s="1"/>
    </row>
    <row r="1532" spans="12:13" x14ac:dyDescent="0.2">
      <c r="L1532" s="1"/>
      <c r="M1532" s="1"/>
    </row>
    <row r="1533" spans="12:13" x14ac:dyDescent="0.2">
      <c r="L1533" s="1"/>
      <c r="M1533" s="1"/>
    </row>
    <row r="1534" spans="12:13" x14ac:dyDescent="0.2">
      <c r="L1534" s="1"/>
      <c r="M1534" s="1"/>
    </row>
    <row r="1535" spans="12:13" x14ac:dyDescent="0.2">
      <c r="L1535" s="1"/>
      <c r="M1535" s="1"/>
    </row>
    <row r="1536" spans="12:13" x14ac:dyDescent="0.2">
      <c r="L1536" s="1"/>
      <c r="M1536" s="1"/>
    </row>
    <row r="1537" spans="12:13" x14ac:dyDescent="0.2">
      <c r="L1537" s="1"/>
      <c r="M1537" s="1"/>
    </row>
    <row r="1538" spans="12:13" x14ac:dyDescent="0.2">
      <c r="L1538" s="1"/>
      <c r="M1538" s="1"/>
    </row>
    <row r="1539" spans="12:13" x14ac:dyDescent="0.2">
      <c r="L1539" s="1"/>
      <c r="M1539" s="1"/>
    </row>
    <row r="1540" spans="12:13" x14ac:dyDescent="0.2">
      <c r="L1540" s="1"/>
      <c r="M1540" s="1"/>
    </row>
    <row r="1541" spans="12:13" x14ac:dyDescent="0.2">
      <c r="L1541" s="1"/>
      <c r="M1541" s="1"/>
    </row>
    <row r="1542" spans="12:13" x14ac:dyDescent="0.2">
      <c r="L1542" s="1"/>
      <c r="M1542" s="1"/>
    </row>
    <row r="1543" spans="12:13" x14ac:dyDescent="0.2">
      <c r="L1543" s="1"/>
      <c r="M1543" s="1"/>
    </row>
    <row r="1544" spans="12:13" x14ac:dyDescent="0.2">
      <c r="L1544" s="1"/>
      <c r="M1544" s="1"/>
    </row>
    <row r="1545" spans="12:13" x14ac:dyDescent="0.2">
      <c r="L1545" s="1"/>
      <c r="M1545" s="1"/>
    </row>
    <row r="1546" spans="12:13" x14ac:dyDescent="0.2">
      <c r="L1546" s="1"/>
      <c r="M1546" s="1"/>
    </row>
    <row r="1547" spans="12:13" x14ac:dyDescent="0.2">
      <c r="L1547" s="1"/>
      <c r="M1547" s="1"/>
    </row>
    <row r="1548" spans="12:13" x14ac:dyDescent="0.2">
      <c r="L1548" s="1"/>
      <c r="M1548" s="1"/>
    </row>
    <row r="1549" spans="12:13" x14ac:dyDescent="0.2">
      <c r="L1549" s="1"/>
      <c r="M1549" s="1"/>
    </row>
    <row r="1550" spans="12:13" x14ac:dyDescent="0.2">
      <c r="L1550" s="1"/>
      <c r="M1550" s="1"/>
    </row>
    <row r="1551" spans="12:13" x14ac:dyDescent="0.2">
      <c r="L1551" s="1"/>
      <c r="M1551" s="1"/>
    </row>
    <row r="1552" spans="12:13" x14ac:dyDescent="0.2">
      <c r="L1552" s="1"/>
      <c r="M1552" s="1"/>
    </row>
    <row r="1553" spans="12:13" x14ac:dyDescent="0.2">
      <c r="L1553" s="1"/>
      <c r="M1553" s="1"/>
    </row>
    <row r="1554" spans="12:13" x14ac:dyDescent="0.2">
      <c r="L1554" s="1"/>
      <c r="M1554" s="1"/>
    </row>
    <row r="1555" spans="12:13" x14ac:dyDescent="0.2">
      <c r="L1555" s="1"/>
      <c r="M1555" s="1"/>
    </row>
    <row r="1556" spans="12:13" x14ac:dyDescent="0.2">
      <c r="L1556" s="1"/>
      <c r="M1556" s="1"/>
    </row>
    <row r="1557" spans="12:13" x14ac:dyDescent="0.2">
      <c r="L1557" s="1"/>
      <c r="M1557" s="1"/>
    </row>
    <row r="1558" spans="12:13" x14ac:dyDescent="0.2">
      <c r="L1558" s="1"/>
      <c r="M1558" s="1"/>
    </row>
    <row r="1559" spans="12:13" x14ac:dyDescent="0.2">
      <c r="L1559" s="1"/>
      <c r="M1559" s="1"/>
    </row>
    <row r="1560" spans="12:13" x14ac:dyDescent="0.2">
      <c r="L1560" s="1"/>
      <c r="M1560" s="1"/>
    </row>
    <row r="1561" spans="12:13" x14ac:dyDescent="0.2">
      <c r="L1561" s="1"/>
      <c r="M1561" s="1"/>
    </row>
    <row r="1562" spans="12:13" x14ac:dyDescent="0.2">
      <c r="L1562" s="1"/>
      <c r="M1562" s="1"/>
    </row>
    <row r="1563" spans="12:13" x14ac:dyDescent="0.2">
      <c r="L1563" s="1"/>
      <c r="M1563" s="1"/>
    </row>
    <row r="1564" spans="12:13" x14ac:dyDescent="0.2">
      <c r="L1564" s="1"/>
      <c r="M1564" s="1"/>
    </row>
    <row r="1565" spans="12:13" x14ac:dyDescent="0.2">
      <c r="L1565" s="1"/>
      <c r="M1565" s="1"/>
    </row>
    <row r="1566" spans="12:13" x14ac:dyDescent="0.2">
      <c r="L1566" s="1"/>
      <c r="M1566" s="1"/>
    </row>
    <row r="1567" spans="12:13" x14ac:dyDescent="0.2">
      <c r="L1567" s="1"/>
      <c r="M1567" s="1"/>
    </row>
    <row r="1568" spans="12:13" x14ac:dyDescent="0.2">
      <c r="L1568" s="1"/>
      <c r="M1568" s="1"/>
    </row>
    <row r="1569" spans="12:14" x14ac:dyDescent="0.2">
      <c r="L1569" s="1"/>
      <c r="M1569" s="1"/>
    </row>
    <row r="1570" spans="12:14" x14ac:dyDescent="0.2">
      <c r="L1570" s="1"/>
      <c r="M1570" s="1"/>
      <c r="N1570" s="1"/>
    </row>
    <row r="1571" spans="12:14" x14ac:dyDescent="0.2">
      <c r="L1571" s="1"/>
      <c r="M1571" s="1"/>
      <c r="N1571" s="1"/>
    </row>
    <row r="1572" spans="12:14" x14ac:dyDescent="0.2">
      <c r="L1572" s="1"/>
      <c r="M1572" s="1"/>
      <c r="N1572" s="1"/>
    </row>
    <row r="1573" spans="12:14" x14ac:dyDescent="0.2">
      <c r="L1573" s="1"/>
      <c r="M1573" s="1"/>
    </row>
    <row r="1574" spans="12:14" x14ac:dyDescent="0.2">
      <c r="L1574" s="1"/>
      <c r="M1574" s="1"/>
    </row>
    <row r="1575" spans="12:14" x14ac:dyDescent="0.2">
      <c r="L1575" s="1"/>
      <c r="M1575" s="1"/>
    </row>
    <row r="1576" spans="12:14" x14ac:dyDescent="0.2">
      <c r="L1576" s="1"/>
      <c r="M1576" s="1"/>
    </row>
    <row r="1577" spans="12:14" x14ac:dyDescent="0.2">
      <c r="L1577" s="1"/>
      <c r="M1577" s="1"/>
    </row>
    <row r="1578" spans="12:14" x14ac:dyDescent="0.2">
      <c r="L1578" s="1"/>
      <c r="M1578" s="1"/>
      <c r="N1578" s="1"/>
    </row>
    <row r="1579" spans="12:14" x14ac:dyDescent="0.2">
      <c r="L1579" s="1"/>
      <c r="M1579" s="1"/>
    </row>
    <row r="1580" spans="12:14" x14ac:dyDescent="0.2">
      <c r="L1580" s="1"/>
      <c r="M1580" s="1"/>
    </row>
    <row r="1581" spans="12:14" x14ac:dyDescent="0.2">
      <c r="L1581" s="1"/>
      <c r="M1581" s="1"/>
    </row>
    <row r="1582" spans="12:14" x14ac:dyDescent="0.2">
      <c r="L1582" s="1"/>
      <c r="M1582" s="1"/>
    </row>
    <row r="1583" spans="12:14" x14ac:dyDescent="0.2">
      <c r="L1583" s="1"/>
      <c r="M1583" s="1"/>
    </row>
    <row r="1584" spans="12:14" x14ac:dyDescent="0.2">
      <c r="L1584" s="1"/>
      <c r="M1584" s="1"/>
      <c r="N1584" s="1"/>
    </row>
    <row r="1585" spans="12:14" x14ac:dyDescent="0.2">
      <c r="L1585" s="1"/>
      <c r="M1585" s="1"/>
    </row>
    <row r="1586" spans="12:14" x14ac:dyDescent="0.2">
      <c r="L1586" s="1"/>
      <c r="M1586" s="1"/>
    </row>
    <row r="1587" spans="12:14" x14ac:dyDescent="0.2">
      <c r="L1587" s="1"/>
      <c r="M1587" s="1"/>
    </row>
    <row r="1588" spans="12:14" x14ac:dyDescent="0.2">
      <c r="L1588" s="1"/>
      <c r="M1588" s="1"/>
      <c r="N1588" s="1"/>
    </row>
    <row r="1589" spans="12:14" x14ac:dyDescent="0.2">
      <c r="L1589" s="1"/>
      <c r="M1589" s="1"/>
    </row>
    <row r="1590" spans="12:14" x14ac:dyDescent="0.2">
      <c r="L1590" s="1"/>
      <c r="M1590" s="1"/>
    </row>
    <row r="1591" spans="12:14" x14ac:dyDescent="0.2">
      <c r="L1591" s="1"/>
      <c r="M1591" s="1"/>
    </row>
    <row r="1592" spans="12:14" x14ac:dyDescent="0.2">
      <c r="L1592" s="1"/>
      <c r="M1592" s="1"/>
    </row>
    <row r="1593" spans="12:14" x14ac:dyDescent="0.2">
      <c r="L1593" s="1"/>
      <c r="M1593" s="1"/>
    </row>
    <row r="1594" spans="12:14" x14ac:dyDescent="0.2">
      <c r="L1594" s="1"/>
      <c r="M1594" s="1"/>
    </row>
    <row r="1595" spans="12:14" x14ac:dyDescent="0.2">
      <c r="L1595" s="1"/>
      <c r="M1595" s="1"/>
      <c r="N1595" s="1"/>
    </row>
    <row r="1596" spans="12:14" x14ac:dyDescent="0.2">
      <c r="L1596" s="1"/>
      <c r="M1596" s="1"/>
      <c r="N1596" s="1"/>
    </row>
    <row r="1597" spans="12:14" x14ac:dyDescent="0.2">
      <c r="L1597" s="1"/>
      <c r="M1597" s="1"/>
      <c r="N1597" s="1"/>
    </row>
    <row r="1598" spans="12:14" x14ac:dyDescent="0.2">
      <c r="L1598" s="1"/>
      <c r="M1598" s="1"/>
    </row>
    <row r="1599" spans="12:14" x14ac:dyDescent="0.2">
      <c r="L1599" s="1"/>
      <c r="M1599" s="1"/>
    </row>
    <row r="1600" spans="12:14" x14ac:dyDescent="0.2">
      <c r="L1600" s="1"/>
      <c r="M1600" s="1"/>
    </row>
    <row r="1601" spans="12:14" x14ac:dyDescent="0.2">
      <c r="L1601" s="1"/>
      <c r="M1601" s="1"/>
    </row>
    <row r="1602" spans="12:14" x14ac:dyDescent="0.2">
      <c r="L1602" s="1"/>
      <c r="M1602" s="1"/>
    </row>
    <row r="1603" spans="12:14" x14ac:dyDescent="0.2">
      <c r="L1603" s="1"/>
      <c r="M1603" s="1"/>
    </row>
    <row r="1604" spans="12:14" x14ac:dyDescent="0.2">
      <c r="L1604" s="1"/>
      <c r="M1604" s="1"/>
    </row>
    <row r="1605" spans="12:14" x14ac:dyDescent="0.2">
      <c r="L1605" s="1"/>
      <c r="M1605" s="1"/>
    </row>
    <row r="1606" spans="12:14" x14ac:dyDescent="0.2">
      <c r="L1606" s="1"/>
      <c r="M1606" s="1"/>
    </row>
    <row r="1607" spans="12:14" x14ac:dyDescent="0.2">
      <c r="L1607" s="1"/>
      <c r="M1607" s="1"/>
    </row>
    <row r="1608" spans="12:14" x14ac:dyDescent="0.2">
      <c r="L1608" s="1"/>
      <c r="M1608" s="1"/>
    </row>
    <row r="1609" spans="12:14" x14ac:dyDescent="0.2">
      <c r="L1609" s="1"/>
      <c r="M1609" s="1"/>
    </row>
    <row r="1610" spans="12:14" x14ac:dyDescent="0.2">
      <c r="L1610" s="1"/>
      <c r="M1610" s="1"/>
    </row>
    <row r="1611" spans="12:14" x14ac:dyDescent="0.2">
      <c r="L1611" s="1"/>
      <c r="M1611" s="1"/>
      <c r="N1611" s="1"/>
    </row>
    <row r="1612" spans="12:14" x14ac:dyDescent="0.2">
      <c r="L1612" s="1"/>
      <c r="M1612" s="1"/>
      <c r="N1612" s="1"/>
    </row>
    <row r="1613" spans="12:14" x14ac:dyDescent="0.2">
      <c r="L1613" s="1"/>
      <c r="M1613" s="1"/>
      <c r="N1613" s="1"/>
    </row>
    <row r="1614" spans="12:14" x14ac:dyDescent="0.2">
      <c r="L1614" s="1"/>
      <c r="M1614" s="1"/>
      <c r="N1614" s="1"/>
    </row>
    <row r="1615" spans="12:14" x14ac:dyDescent="0.2">
      <c r="L1615" s="1"/>
      <c r="M1615" s="1"/>
    </row>
    <row r="1616" spans="12:14" x14ac:dyDescent="0.2">
      <c r="L1616" s="1"/>
      <c r="M1616" s="1"/>
      <c r="N1616" s="1"/>
    </row>
    <row r="1617" spans="12:14" x14ac:dyDescent="0.2">
      <c r="L1617" s="1"/>
      <c r="M1617" s="1"/>
    </row>
    <row r="1618" spans="12:14" x14ac:dyDescent="0.2">
      <c r="L1618" s="1"/>
      <c r="M1618" s="1"/>
      <c r="N1618" s="1"/>
    </row>
    <row r="1619" spans="12:14" x14ac:dyDescent="0.2">
      <c r="L1619" s="1"/>
      <c r="M1619" s="1"/>
    </row>
    <row r="1620" spans="12:14" x14ac:dyDescent="0.2">
      <c r="L1620" s="1"/>
      <c r="M1620" s="1"/>
    </row>
    <row r="1621" spans="12:14" x14ac:dyDescent="0.2">
      <c r="L1621" s="1"/>
      <c r="M1621" s="1"/>
      <c r="N1621" s="1"/>
    </row>
    <row r="1622" spans="12:14" x14ac:dyDescent="0.2">
      <c r="L1622" s="1"/>
      <c r="M1622" s="1"/>
      <c r="N1622" s="1"/>
    </row>
    <row r="1623" spans="12:14" x14ac:dyDescent="0.2">
      <c r="L1623" s="1"/>
      <c r="M1623" s="1"/>
    </row>
    <row r="1624" spans="12:14" x14ac:dyDescent="0.2">
      <c r="L1624" s="1"/>
      <c r="M1624" s="1"/>
    </row>
    <row r="1625" spans="12:14" x14ac:dyDescent="0.2">
      <c r="L1625" s="1"/>
      <c r="M1625" s="1"/>
    </row>
    <row r="1626" spans="12:14" x14ac:dyDescent="0.2">
      <c r="L1626" s="1"/>
      <c r="M1626" s="1"/>
    </row>
    <row r="1627" spans="12:14" x14ac:dyDescent="0.2">
      <c r="L1627" s="1"/>
      <c r="M1627" s="1"/>
      <c r="N1627" s="1"/>
    </row>
    <row r="1628" spans="12:14" x14ac:dyDescent="0.2">
      <c r="L1628" s="1"/>
      <c r="M1628" s="1"/>
    </row>
    <row r="1629" spans="12:14" x14ac:dyDescent="0.2">
      <c r="L1629" s="1"/>
      <c r="M1629" s="1"/>
      <c r="N1629" s="1"/>
    </row>
    <row r="1630" spans="12:14" x14ac:dyDescent="0.2">
      <c r="L1630" s="1"/>
      <c r="M1630" s="1"/>
    </row>
    <row r="1631" spans="12:14" x14ac:dyDescent="0.2">
      <c r="L1631" s="1"/>
      <c r="M1631" s="1"/>
      <c r="N1631" s="1"/>
    </row>
    <row r="1632" spans="12:14" x14ac:dyDescent="0.2">
      <c r="L1632" s="1"/>
      <c r="M1632" s="1"/>
      <c r="N1632" s="1"/>
    </row>
    <row r="1633" spans="12:14" x14ac:dyDescent="0.2">
      <c r="L1633" s="1"/>
      <c r="M1633" s="1"/>
    </row>
    <row r="1634" spans="12:14" x14ac:dyDescent="0.2">
      <c r="L1634" s="1"/>
      <c r="M1634" s="1"/>
    </row>
    <row r="1635" spans="12:14" x14ac:dyDescent="0.2">
      <c r="L1635" s="1"/>
      <c r="M1635" s="1"/>
    </row>
    <row r="1636" spans="12:14" x14ac:dyDescent="0.2">
      <c r="L1636" s="1"/>
      <c r="M1636" s="1"/>
      <c r="N1636" s="1"/>
    </row>
    <row r="1637" spans="12:14" x14ac:dyDescent="0.2">
      <c r="L1637" s="1"/>
      <c r="M1637" s="1"/>
      <c r="N1637" s="1"/>
    </row>
    <row r="1638" spans="12:14" x14ac:dyDescent="0.2">
      <c r="L1638" s="1"/>
      <c r="M1638" s="1"/>
      <c r="N1638" s="1"/>
    </row>
    <row r="1639" spans="12:14" x14ac:dyDescent="0.2">
      <c r="L1639" s="1"/>
      <c r="M1639" s="1"/>
    </row>
    <row r="1640" spans="12:14" x14ac:dyDescent="0.2">
      <c r="L1640" s="1"/>
      <c r="M1640" s="1"/>
      <c r="N1640" s="1"/>
    </row>
    <row r="1641" spans="12:14" x14ac:dyDescent="0.2">
      <c r="L1641" s="1"/>
      <c r="M1641" s="1"/>
      <c r="N1641" s="1"/>
    </row>
    <row r="1642" spans="12:14" x14ac:dyDescent="0.2">
      <c r="L1642" s="1"/>
      <c r="M1642" s="1"/>
      <c r="N1642" s="1"/>
    </row>
    <row r="1643" spans="12:14" x14ac:dyDescent="0.2">
      <c r="L1643" s="1"/>
      <c r="M1643" s="1"/>
      <c r="N1643" s="1"/>
    </row>
    <row r="1644" spans="12:14" x14ac:dyDescent="0.2">
      <c r="L1644" s="1"/>
      <c r="M1644" s="1"/>
      <c r="N1644" s="1"/>
    </row>
    <row r="1645" spans="12:14" x14ac:dyDescent="0.2">
      <c r="L1645" s="1"/>
      <c r="M1645" s="1"/>
      <c r="N1645" s="1"/>
    </row>
    <row r="1646" spans="12:14" x14ac:dyDescent="0.2">
      <c r="L1646" s="1"/>
      <c r="M1646" s="1"/>
      <c r="N1646" s="1"/>
    </row>
    <row r="1647" spans="12:14" x14ac:dyDescent="0.2">
      <c r="L1647" s="1"/>
      <c r="M1647" s="1"/>
      <c r="N1647" s="1"/>
    </row>
    <row r="1648" spans="12:14" x14ac:dyDescent="0.2">
      <c r="L1648" s="1"/>
      <c r="M1648" s="1"/>
      <c r="N1648" s="1"/>
    </row>
    <row r="1649" spans="12:14" x14ac:dyDescent="0.2">
      <c r="L1649" s="1"/>
      <c r="M1649" s="1"/>
      <c r="N1649" s="1"/>
    </row>
    <row r="1650" spans="12:14" x14ac:dyDescent="0.2">
      <c r="L1650" s="1"/>
      <c r="M1650" s="1"/>
      <c r="N1650" s="1"/>
    </row>
    <row r="1651" spans="12:14" x14ac:dyDescent="0.2">
      <c r="L1651" s="1"/>
      <c r="M1651" s="1"/>
      <c r="N1651" s="1"/>
    </row>
    <row r="1652" spans="12:14" x14ac:dyDescent="0.2">
      <c r="L1652" s="1"/>
      <c r="M1652" s="1"/>
      <c r="N1652" s="1"/>
    </row>
    <row r="1653" spans="12:14" x14ac:dyDescent="0.2">
      <c r="L1653" s="1"/>
      <c r="M1653" s="1"/>
    </row>
    <row r="1654" spans="12:14" x14ac:dyDescent="0.2">
      <c r="L1654" s="1"/>
      <c r="M1654" s="1"/>
      <c r="N1654" s="1"/>
    </row>
    <row r="1655" spans="12:14" x14ac:dyDescent="0.2">
      <c r="L1655" s="1"/>
      <c r="M1655" s="1"/>
      <c r="N1655" s="1"/>
    </row>
    <row r="1656" spans="12:14" x14ac:dyDescent="0.2">
      <c r="L1656" s="1"/>
      <c r="M1656" s="1"/>
    </row>
    <row r="1657" spans="12:14" x14ac:dyDescent="0.2">
      <c r="L1657" s="1"/>
      <c r="M1657" s="1"/>
    </row>
    <row r="1658" spans="12:14" x14ac:dyDescent="0.2">
      <c r="L1658" s="1"/>
      <c r="M1658" s="1"/>
    </row>
    <row r="1659" spans="12:14" x14ac:dyDescent="0.2">
      <c r="L1659" s="1"/>
      <c r="M1659" s="1"/>
      <c r="N1659" s="1"/>
    </row>
    <row r="1660" spans="12:14" x14ac:dyDescent="0.2">
      <c r="L1660" s="1"/>
      <c r="M1660" s="1"/>
    </row>
    <row r="1661" spans="12:14" x14ac:dyDescent="0.2">
      <c r="L1661" s="1"/>
      <c r="M1661" s="1"/>
    </row>
    <row r="1662" spans="12:14" x14ac:dyDescent="0.2">
      <c r="L1662" s="1"/>
      <c r="M1662" s="1"/>
      <c r="N1662" s="1"/>
    </row>
    <row r="1663" spans="12:14" x14ac:dyDescent="0.2">
      <c r="L1663" s="1"/>
      <c r="M1663" s="1"/>
      <c r="N1663" s="1"/>
    </row>
    <row r="1664" spans="12:14" x14ac:dyDescent="0.2">
      <c r="L1664" s="1"/>
      <c r="M1664" s="1"/>
      <c r="N1664" s="1"/>
    </row>
    <row r="1665" spans="12:14" x14ac:dyDescent="0.2">
      <c r="L1665" s="1"/>
      <c r="M1665" s="1"/>
      <c r="N1665" s="1"/>
    </row>
    <row r="1666" spans="12:14" x14ac:dyDescent="0.2">
      <c r="L1666" s="1"/>
      <c r="M1666" s="1"/>
      <c r="N1666" s="1"/>
    </row>
    <row r="1667" spans="12:14" x14ac:dyDescent="0.2">
      <c r="L1667" s="1"/>
      <c r="M1667" s="1"/>
      <c r="N1667" s="1"/>
    </row>
    <row r="1668" spans="12:14" x14ac:dyDescent="0.2">
      <c r="L1668" s="1"/>
      <c r="M1668" s="1"/>
      <c r="N1668" s="1"/>
    </row>
    <row r="1669" spans="12:14" x14ac:dyDescent="0.2">
      <c r="L1669" s="1"/>
      <c r="M1669" s="1"/>
      <c r="N1669" s="1"/>
    </row>
    <row r="1670" spans="12:14" x14ac:dyDescent="0.2">
      <c r="L1670" s="1"/>
      <c r="M1670" s="1"/>
      <c r="N1670" s="1"/>
    </row>
    <row r="1671" spans="12:14" x14ac:dyDescent="0.2">
      <c r="L1671" s="1"/>
      <c r="M1671" s="1"/>
      <c r="N1671" s="1"/>
    </row>
    <row r="1672" spans="12:14" x14ac:dyDescent="0.2">
      <c r="L1672" s="1"/>
      <c r="M1672" s="1"/>
      <c r="N1672" s="1"/>
    </row>
    <row r="1673" spans="12:14" x14ac:dyDescent="0.2">
      <c r="L1673" s="1"/>
      <c r="M1673" s="1"/>
      <c r="N1673" s="1"/>
    </row>
    <row r="1674" spans="12:14" x14ac:dyDescent="0.2">
      <c r="L1674" s="1"/>
      <c r="M1674" s="1"/>
      <c r="N1674" s="1"/>
    </row>
    <row r="1675" spans="12:14" x14ac:dyDescent="0.2">
      <c r="L1675" s="1"/>
      <c r="M1675" s="1"/>
    </row>
    <row r="1676" spans="12:14" x14ac:dyDescent="0.2">
      <c r="L1676" s="1"/>
      <c r="M1676" s="1"/>
      <c r="N1676" s="1"/>
    </row>
    <row r="1677" spans="12:14" x14ac:dyDescent="0.2">
      <c r="L1677" s="1"/>
      <c r="M1677" s="1"/>
      <c r="N1677" s="1"/>
    </row>
    <row r="1678" spans="12:14" x14ac:dyDescent="0.2">
      <c r="L1678" s="1"/>
      <c r="M1678" s="1"/>
      <c r="N1678" s="1"/>
    </row>
    <row r="1679" spans="12:14" x14ac:dyDescent="0.2">
      <c r="L1679" s="1"/>
      <c r="M1679" s="1"/>
      <c r="N1679" s="1"/>
    </row>
    <row r="1680" spans="12:14" x14ac:dyDescent="0.2">
      <c r="L1680" s="1"/>
      <c r="M1680" s="1"/>
      <c r="N1680" s="1"/>
    </row>
    <row r="1681" spans="12:14" x14ac:dyDescent="0.2">
      <c r="L1681" s="1"/>
      <c r="M1681" s="1"/>
      <c r="N1681" s="1"/>
    </row>
    <row r="1682" spans="12:14" x14ac:dyDescent="0.2">
      <c r="L1682" s="1"/>
      <c r="M1682" s="1"/>
    </row>
    <row r="1683" spans="12:14" x14ac:dyDescent="0.2">
      <c r="L1683" s="1"/>
      <c r="M1683" s="1"/>
    </row>
    <row r="1684" spans="12:14" x14ac:dyDescent="0.2">
      <c r="L1684" s="1"/>
      <c r="M1684" s="1"/>
    </row>
    <row r="1685" spans="12:14" x14ac:dyDescent="0.2">
      <c r="L1685" s="1"/>
      <c r="M1685" s="1"/>
      <c r="N1685" s="1"/>
    </row>
    <row r="1686" spans="12:14" x14ac:dyDescent="0.2">
      <c r="L1686" s="1"/>
      <c r="M1686" s="1"/>
    </row>
    <row r="1687" spans="12:14" x14ac:dyDescent="0.2">
      <c r="L1687" s="1"/>
      <c r="M1687" s="1"/>
    </row>
    <row r="1688" spans="12:14" x14ac:dyDescent="0.2">
      <c r="L1688" s="1"/>
      <c r="M1688" s="1"/>
    </row>
    <row r="1689" spans="12:14" x14ac:dyDescent="0.2">
      <c r="L1689" s="1"/>
      <c r="M1689" s="1"/>
      <c r="N1689" s="1"/>
    </row>
    <row r="1690" spans="12:14" x14ac:dyDescent="0.2">
      <c r="L1690" s="1"/>
      <c r="M1690" s="1"/>
      <c r="N1690" s="1"/>
    </row>
    <row r="1691" spans="12:14" x14ac:dyDescent="0.2">
      <c r="L1691" s="1"/>
      <c r="M1691" s="1"/>
      <c r="N1691" s="1"/>
    </row>
    <row r="1692" spans="12:14" x14ac:dyDescent="0.2">
      <c r="L1692" s="1"/>
      <c r="M1692" s="1"/>
      <c r="N1692" s="1"/>
    </row>
    <row r="1693" spans="12:14" x14ac:dyDescent="0.2">
      <c r="L1693" s="1"/>
      <c r="M1693" s="1"/>
      <c r="N1693" s="1"/>
    </row>
    <row r="1694" spans="12:14" x14ac:dyDescent="0.2">
      <c r="L1694" s="1"/>
      <c r="M1694" s="1"/>
      <c r="N1694" s="1"/>
    </row>
    <row r="1695" spans="12:14" x14ac:dyDescent="0.2">
      <c r="L1695" s="1"/>
      <c r="M1695" s="1"/>
      <c r="N1695" s="1"/>
    </row>
    <row r="1696" spans="12:14" x14ac:dyDescent="0.2">
      <c r="L1696" s="1"/>
      <c r="M1696" s="1"/>
      <c r="N1696" s="1"/>
    </row>
    <row r="1697" spans="12:14" x14ac:dyDescent="0.2">
      <c r="L1697" s="1"/>
      <c r="M1697" s="1"/>
      <c r="N1697" s="1"/>
    </row>
    <row r="1698" spans="12:14" x14ac:dyDescent="0.2">
      <c r="L1698" s="1"/>
      <c r="M1698" s="1"/>
      <c r="N1698" s="1"/>
    </row>
    <row r="1699" spans="12:14" x14ac:dyDescent="0.2">
      <c r="L1699" s="1"/>
      <c r="M1699" s="1"/>
    </row>
    <row r="1700" spans="12:14" x14ac:dyDescent="0.2">
      <c r="L1700" s="1"/>
      <c r="M1700" s="1"/>
    </row>
    <row r="1701" spans="12:14" x14ac:dyDescent="0.2">
      <c r="L1701" s="1"/>
      <c r="M1701" s="1"/>
      <c r="N1701" s="1"/>
    </row>
    <row r="1702" spans="12:14" x14ac:dyDescent="0.2">
      <c r="L1702" s="1"/>
      <c r="M1702" s="1"/>
      <c r="N1702" s="1"/>
    </row>
    <row r="1703" spans="12:14" x14ac:dyDescent="0.2">
      <c r="L1703" s="1"/>
      <c r="M1703" s="1"/>
      <c r="N1703" s="1"/>
    </row>
    <row r="1704" spans="12:14" x14ac:dyDescent="0.2">
      <c r="L1704" s="1"/>
      <c r="M1704" s="1"/>
      <c r="N1704" s="1"/>
    </row>
    <row r="1705" spans="12:14" x14ac:dyDescent="0.2">
      <c r="L1705" s="1"/>
      <c r="M1705" s="1"/>
      <c r="N1705" s="1"/>
    </row>
    <row r="1706" spans="12:14" x14ac:dyDescent="0.2">
      <c r="L1706" s="1"/>
      <c r="M1706" s="1"/>
    </row>
    <row r="1707" spans="12:14" x14ac:dyDescent="0.2">
      <c r="L1707" s="1"/>
      <c r="M1707" s="1"/>
      <c r="N1707" s="1"/>
    </row>
    <row r="1708" spans="12:14" x14ac:dyDescent="0.2">
      <c r="L1708" s="1"/>
      <c r="M1708" s="1"/>
    </row>
    <row r="1709" spans="12:14" x14ac:dyDescent="0.2">
      <c r="L1709" s="1"/>
      <c r="M1709" s="1"/>
    </row>
    <row r="1710" spans="12:14" x14ac:dyDescent="0.2">
      <c r="L1710" s="1"/>
      <c r="M1710" s="1"/>
    </row>
    <row r="1711" spans="12:14" x14ac:dyDescent="0.2">
      <c r="L1711" s="1"/>
      <c r="M1711" s="1"/>
    </row>
    <row r="1712" spans="12:14" x14ac:dyDescent="0.2">
      <c r="L1712" s="1"/>
      <c r="M1712" s="1"/>
    </row>
    <row r="1713" spans="12:14" x14ac:dyDescent="0.2">
      <c r="L1713" s="1"/>
      <c r="M1713" s="1"/>
    </row>
    <row r="1714" spans="12:14" x14ac:dyDescent="0.2">
      <c r="L1714" s="1"/>
      <c r="M1714" s="1"/>
      <c r="N1714" s="1"/>
    </row>
    <row r="1715" spans="12:14" x14ac:dyDescent="0.2">
      <c r="L1715" s="1"/>
      <c r="M1715" s="1"/>
      <c r="N1715" s="1"/>
    </row>
    <row r="1716" spans="12:14" x14ac:dyDescent="0.2">
      <c r="L1716" s="1"/>
      <c r="M1716" s="1"/>
      <c r="N1716" s="1"/>
    </row>
    <row r="1717" spans="12:14" x14ac:dyDescent="0.2">
      <c r="L1717" s="1"/>
      <c r="M1717" s="1"/>
    </row>
    <row r="1718" spans="12:14" x14ac:dyDescent="0.2">
      <c r="L1718" s="1"/>
      <c r="M1718" s="1"/>
    </row>
    <row r="1719" spans="12:14" x14ac:dyDescent="0.2">
      <c r="L1719" s="1"/>
      <c r="M1719" s="1"/>
    </row>
    <row r="1720" spans="12:14" x14ac:dyDescent="0.2">
      <c r="L1720" s="1"/>
      <c r="M1720" s="1"/>
    </row>
    <row r="1721" spans="12:14" x14ac:dyDescent="0.2">
      <c r="L1721" s="1"/>
      <c r="M1721" s="1"/>
    </row>
    <row r="1722" spans="12:14" x14ac:dyDescent="0.2">
      <c r="L1722" s="1"/>
      <c r="M1722" s="1"/>
    </row>
    <row r="1723" spans="12:14" x14ac:dyDescent="0.2">
      <c r="L1723" s="1"/>
      <c r="M1723" s="1"/>
    </row>
    <row r="1724" spans="12:14" x14ac:dyDescent="0.2">
      <c r="L1724" s="1"/>
      <c r="M1724" s="1"/>
    </row>
    <row r="1725" spans="12:14" x14ac:dyDescent="0.2">
      <c r="L1725" s="1"/>
      <c r="M1725" s="1"/>
    </row>
    <row r="1726" spans="12:14" x14ac:dyDescent="0.2">
      <c r="L1726" s="1"/>
      <c r="M1726" s="1"/>
    </row>
    <row r="1727" spans="12:14" x14ac:dyDescent="0.2">
      <c r="L1727" s="1"/>
      <c r="M1727" s="1"/>
    </row>
    <row r="1728" spans="12:14" x14ac:dyDescent="0.2">
      <c r="L1728" s="1"/>
      <c r="M1728" s="1"/>
    </row>
    <row r="1729" spans="12:14" x14ac:dyDescent="0.2">
      <c r="L1729" s="1"/>
      <c r="M1729" s="1"/>
    </row>
    <row r="1730" spans="12:14" x14ac:dyDescent="0.2">
      <c r="L1730" s="1"/>
      <c r="M1730" s="1"/>
    </row>
    <row r="1731" spans="12:14" x14ac:dyDescent="0.2">
      <c r="L1731" s="1"/>
      <c r="M1731" s="1"/>
    </row>
    <row r="1732" spans="12:14" x14ac:dyDescent="0.2">
      <c r="L1732" s="1"/>
      <c r="M1732" s="1"/>
    </row>
    <row r="1733" spans="12:14" x14ac:dyDescent="0.2">
      <c r="L1733" s="1"/>
      <c r="M1733" s="1"/>
    </row>
    <row r="1734" spans="12:14" x14ac:dyDescent="0.2">
      <c r="L1734" s="1"/>
      <c r="M1734" s="1"/>
      <c r="N1734" s="1"/>
    </row>
    <row r="1735" spans="12:14" x14ac:dyDescent="0.2">
      <c r="L1735" s="1"/>
      <c r="M1735" s="1"/>
      <c r="N1735" s="1"/>
    </row>
    <row r="1736" spans="12:14" x14ac:dyDescent="0.2">
      <c r="L1736" s="1"/>
      <c r="M1736" s="1"/>
      <c r="N1736" s="1"/>
    </row>
    <row r="1737" spans="12:14" x14ac:dyDescent="0.2">
      <c r="L1737" s="1"/>
      <c r="M1737" s="1"/>
    </row>
    <row r="1738" spans="12:14" x14ac:dyDescent="0.2">
      <c r="L1738" s="1"/>
      <c r="M1738" s="1"/>
    </row>
    <row r="1739" spans="12:14" x14ac:dyDescent="0.2">
      <c r="L1739" s="1"/>
      <c r="M1739" s="1"/>
      <c r="N1739" s="1"/>
    </row>
    <row r="1740" spans="12:14" x14ac:dyDescent="0.2">
      <c r="L1740" s="1"/>
      <c r="M1740" s="1"/>
      <c r="N1740" s="1"/>
    </row>
    <row r="1741" spans="12:14" x14ac:dyDescent="0.2">
      <c r="L1741" s="1"/>
      <c r="M1741" s="1"/>
      <c r="N1741" s="1"/>
    </row>
    <row r="1742" spans="12:14" x14ac:dyDescent="0.2">
      <c r="L1742" s="1"/>
      <c r="M1742" s="1"/>
      <c r="N1742" s="1"/>
    </row>
    <row r="1743" spans="12:14" x14ac:dyDescent="0.2">
      <c r="L1743" s="1"/>
      <c r="M1743" s="1"/>
      <c r="N1743" s="1"/>
    </row>
    <row r="1744" spans="12:14" x14ac:dyDescent="0.2">
      <c r="L1744" s="1"/>
      <c r="M1744" s="1"/>
      <c r="N1744" s="1"/>
    </row>
    <row r="1745" spans="12:14" x14ac:dyDescent="0.2">
      <c r="L1745" s="1"/>
      <c r="M1745" s="1"/>
    </row>
    <row r="1746" spans="12:14" x14ac:dyDescent="0.2">
      <c r="L1746" s="1"/>
      <c r="M1746" s="1"/>
      <c r="N1746" s="1"/>
    </row>
    <row r="1747" spans="12:14" x14ac:dyDescent="0.2">
      <c r="L1747" s="1"/>
      <c r="M1747" s="1"/>
    </row>
    <row r="1748" spans="12:14" x14ac:dyDescent="0.2">
      <c r="L1748" s="1"/>
      <c r="M1748" s="1"/>
      <c r="N1748" s="1"/>
    </row>
    <row r="1749" spans="12:14" x14ac:dyDescent="0.2">
      <c r="L1749" s="1"/>
      <c r="M1749" s="1"/>
    </row>
    <row r="1750" spans="12:14" x14ac:dyDescent="0.2">
      <c r="L1750" s="1"/>
      <c r="M1750" s="1"/>
      <c r="N1750" s="1"/>
    </row>
    <row r="1751" spans="12:14" x14ac:dyDescent="0.2">
      <c r="L1751" s="1"/>
      <c r="M1751" s="1"/>
      <c r="N1751" s="1"/>
    </row>
    <row r="1752" spans="12:14" x14ac:dyDescent="0.2">
      <c r="L1752" s="1"/>
      <c r="M1752" s="1"/>
    </row>
    <row r="1753" spans="12:14" x14ac:dyDescent="0.2">
      <c r="L1753" s="1"/>
      <c r="M1753" s="1"/>
    </row>
    <row r="1754" spans="12:14" x14ac:dyDescent="0.2">
      <c r="L1754" s="1"/>
      <c r="M1754" s="1"/>
    </row>
    <row r="1755" spans="12:14" x14ac:dyDescent="0.2">
      <c r="L1755" s="1"/>
      <c r="M1755" s="1"/>
      <c r="N1755" s="1"/>
    </row>
    <row r="1756" spans="12:14" x14ac:dyDescent="0.2">
      <c r="L1756" s="1"/>
      <c r="M1756" s="1"/>
      <c r="N1756" s="1"/>
    </row>
    <row r="1757" spans="12:14" x14ac:dyDescent="0.2">
      <c r="L1757" s="1"/>
      <c r="M1757" s="1"/>
      <c r="N1757" s="1"/>
    </row>
    <row r="1758" spans="12:14" x14ac:dyDescent="0.2">
      <c r="L1758" s="1"/>
      <c r="M1758" s="1"/>
      <c r="N1758" s="1"/>
    </row>
    <row r="1759" spans="12:14" x14ac:dyDescent="0.2">
      <c r="L1759" s="1"/>
      <c r="M1759" s="1"/>
      <c r="N1759" s="1"/>
    </row>
    <row r="1760" spans="12:14" x14ac:dyDescent="0.2">
      <c r="L1760" s="1"/>
      <c r="M1760" s="1"/>
      <c r="N1760" s="1"/>
    </row>
    <row r="1761" spans="12:14" x14ac:dyDescent="0.2">
      <c r="L1761" s="1"/>
      <c r="M1761" s="1"/>
      <c r="N1761" s="1"/>
    </row>
    <row r="1762" spans="12:14" x14ac:dyDescent="0.2">
      <c r="L1762" s="1"/>
      <c r="M1762" s="1"/>
      <c r="N1762" s="1"/>
    </row>
    <row r="1763" spans="12:14" x14ac:dyDescent="0.2">
      <c r="L1763" s="1"/>
      <c r="M1763" s="1"/>
      <c r="N1763" s="1"/>
    </row>
    <row r="1764" spans="12:14" x14ac:dyDescent="0.2">
      <c r="L1764" s="1"/>
      <c r="M1764" s="1"/>
      <c r="N1764" s="1"/>
    </row>
    <row r="1765" spans="12:14" x14ac:dyDescent="0.2">
      <c r="L1765" s="1"/>
      <c r="M1765" s="1"/>
      <c r="N1765" s="1"/>
    </row>
    <row r="1766" spans="12:14" x14ac:dyDescent="0.2">
      <c r="L1766" s="1"/>
      <c r="M1766" s="1"/>
      <c r="N1766" s="1"/>
    </row>
    <row r="1767" spans="12:14" x14ac:dyDescent="0.2">
      <c r="L1767" s="1"/>
      <c r="M1767" s="1"/>
      <c r="N1767" s="1"/>
    </row>
    <row r="1768" spans="12:14" x14ac:dyDescent="0.2">
      <c r="L1768" s="1"/>
      <c r="M1768" s="1"/>
      <c r="N1768" s="1"/>
    </row>
    <row r="1769" spans="12:14" x14ac:dyDescent="0.2">
      <c r="L1769" s="1"/>
      <c r="M1769" s="1"/>
      <c r="N1769" s="1"/>
    </row>
    <row r="1770" spans="12:14" x14ac:dyDescent="0.2">
      <c r="L1770" s="1"/>
      <c r="M1770" s="1"/>
      <c r="N1770" s="1"/>
    </row>
    <row r="1771" spans="12:14" x14ac:dyDescent="0.2">
      <c r="L1771" s="1"/>
      <c r="M1771" s="1"/>
      <c r="N1771" s="1"/>
    </row>
    <row r="1772" spans="12:14" x14ac:dyDescent="0.2">
      <c r="L1772" s="1"/>
      <c r="M1772" s="1"/>
    </row>
    <row r="1773" spans="12:14" x14ac:dyDescent="0.2">
      <c r="L1773" s="1"/>
      <c r="M1773" s="1"/>
    </row>
    <row r="1774" spans="12:14" x14ac:dyDescent="0.2">
      <c r="L1774" s="1"/>
      <c r="M1774" s="1"/>
      <c r="N1774" s="1"/>
    </row>
    <row r="1775" spans="12:14" x14ac:dyDescent="0.2">
      <c r="L1775" s="1"/>
      <c r="M1775" s="1"/>
      <c r="N1775" s="1"/>
    </row>
    <row r="1776" spans="12:14" x14ac:dyDescent="0.2">
      <c r="L1776" s="1"/>
      <c r="M1776" s="1"/>
    </row>
    <row r="1777" spans="12:14" x14ac:dyDescent="0.2">
      <c r="L1777" s="1"/>
      <c r="M1777" s="1"/>
    </row>
    <row r="1778" spans="12:14" x14ac:dyDescent="0.2">
      <c r="L1778" s="1"/>
      <c r="M1778" s="1"/>
      <c r="N1778" s="1"/>
    </row>
    <row r="1779" spans="12:14" x14ac:dyDescent="0.2">
      <c r="L1779" s="1"/>
      <c r="M1779" s="1"/>
    </row>
    <row r="1780" spans="12:14" x14ac:dyDescent="0.2">
      <c r="L1780" s="1"/>
      <c r="M1780" s="1"/>
    </row>
    <row r="1781" spans="12:14" x14ac:dyDescent="0.2">
      <c r="L1781" s="1"/>
      <c r="M1781" s="1"/>
      <c r="N1781" s="1"/>
    </row>
    <row r="1782" spans="12:14" x14ac:dyDescent="0.2">
      <c r="L1782" s="1"/>
      <c r="M1782" s="1"/>
      <c r="N1782" s="1"/>
    </row>
    <row r="1783" spans="12:14" x14ac:dyDescent="0.2">
      <c r="L1783" s="1"/>
      <c r="M1783" s="1"/>
      <c r="N1783" s="1"/>
    </row>
    <row r="1784" spans="12:14" x14ac:dyDescent="0.2">
      <c r="L1784" s="1"/>
      <c r="M1784" s="1"/>
      <c r="N1784" s="1"/>
    </row>
    <row r="1785" spans="12:14" x14ac:dyDescent="0.2">
      <c r="L1785" s="1"/>
      <c r="M1785" s="1"/>
      <c r="N1785" s="1"/>
    </row>
    <row r="1786" spans="12:14" x14ac:dyDescent="0.2">
      <c r="L1786" s="1"/>
      <c r="M1786" s="1"/>
      <c r="N1786" s="1"/>
    </row>
    <row r="1787" spans="12:14" x14ac:dyDescent="0.2">
      <c r="L1787" s="1"/>
      <c r="M1787" s="1"/>
      <c r="N1787" s="1"/>
    </row>
    <row r="1788" spans="12:14" x14ac:dyDescent="0.2">
      <c r="L1788" s="1"/>
      <c r="M1788" s="1"/>
      <c r="N1788" s="1"/>
    </row>
    <row r="1789" spans="12:14" x14ac:dyDescent="0.2">
      <c r="L1789" s="1"/>
      <c r="M1789" s="1"/>
      <c r="N1789" s="1"/>
    </row>
    <row r="1790" spans="12:14" x14ac:dyDescent="0.2">
      <c r="L1790" s="1"/>
      <c r="M1790" s="1"/>
      <c r="N1790" s="1"/>
    </row>
    <row r="1791" spans="12:14" x14ac:dyDescent="0.2">
      <c r="L1791" s="1"/>
      <c r="M1791" s="1"/>
      <c r="N1791" s="1"/>
    </row>
    <row r="1792" spans="12:14" x14ac:dyDescent="0.2">
      <c r="L1792" s="1"/>
      <c r="M1792" s="1"/>
      <c r="N1792" s="1"/>
    </row>
    <row r="1793" spans="12:14" x14ac:dyDescent="0.2">
      <c r="L1793" s="1"/>
      <c r="M1793" s="1"/>
      <c r="N1793" s="1"/>
    </row>
    <row r="1794" spans="12:14" x14ac:dyDescent="0.2">
      <c r="L1794" s="1"/>
      <c r="M1794" s="1"/>
      <c r="N1794" s="1"/>
    </row>
    <row r="1795" spans="12:14" x14ac:dyDescent="0.2">
      <c r="L1795" s="1"/>
      <c r="M1795" s="1"/>
      <c r="N1795" s="1"/>
    </row>
    <row r="1796" spans="12:14" x14ac:dyDescent="0.2">
      <c r="L1796" s="1"/>
      <c r="M1796" s="1"/>
      <c r="N1796" s="1"/>
    </row>
    <row r="1797" spans="12:14" x14ac:dyDescent="0.2">
      <c r="L1797" s="1"/>
      <c r="M1797" s="1"/>
      <c r="N1797" s="1"/>
    </row>
    <row r="1798" spans="12:14" x14ac:dyDescent="0.2">
      <c r="L1798" s="1"/>
      <c r="M1798" s="1"/>
      <c r="N1798" s="1"/>
    </row>
    <row r="1799" spans="12:14" x14ac:dyDescent="0.2">
      <c r="L1799" s="1"/>
      <c r="M1799" s="1"/>
      <c r="N1799" s="1"/>
    </row>
    <row r="1800" spans="12:14" x14ac:dyDescent="0.2">
      <c r="L1800" s="1"/>
      <c r="M1800" s="1"/>
      <c r="N1800" s="1"/>
    </row>
    <row r="1801" spans="12:14" x14ac:dyDescent="0.2">
      <c r="L1801" s="1"/>
      <c r="M1801" s="1"/>
    </row>
    <row r="1802" spans="12:14" x14ac:dyDescent="0.2">
      <c r="L1802" s="1"/>
      <c r="M1802" s="1"/>
      <c r="N1802" s="1"/>
    </row>
    <row r="1803" spans="12:14" x14ac:dyDescent="0.2">
      <c r="L1803" s="1"/>
      <c r="M1803" s="1"/>
      <c r="N1803" s="1"/>
    </row>
    <row r="1804" spans="12:14" x14ac:dyDescent="0.2">
      <c r="L1804" s="1"/>
      <c r="M1804" s="1"/>
      <c r="N1804" s="1"/>
    </row>
    <row r="1805" spans="12:14" x14ac:dyDescent="0.2">
      <c r="L1805" s="1"/>
      <c r="M1805" s="1"/>
      <c r="N1805" s="1"/>
    </row>
    <row r="1806" spans="12:14" x14ac:dyDescent="0.2">
      <c r="L1806" s="1"/>
      <c r="M1806" s="1"/>
    </row>
    <row r="1807" spans="12:14" x14ac:dyDescent="0.2">
      <c r="L1807" s="1"/>
      <c r="M1807" s="1"/>
      <c r="N1807" s="1"/>
    </row>
    <row r="1808" spans="12:14" x14ac:dyDescent="0.2">
      <c r="L1808" s="1"/>
      <c r="M1808" s="1"/>
      <c r="N1808" s="1"/>
    </row>
    <row r="1809" spans="12:14" x14ac:dyDescent="0.2">
      <c r="L1809" s="1"/>
      <c r="M1809" s="1"/>
      <c r="N1809" s="1"/>
    </row>
    <row r="1810" spans="12:14" x14ac:dyDescent="0.2">
      <c r="L1810" s="1"/>
      <c r="M1810" s="1"/>
      <c r="N1810" s="1"/>
    </row>
    <row r="1811" spans="12:14" x14ac:dyDescent="0.2">
      <c r="L1811" s="1"/>
      <c r="M1811" s="1"/>
      <c r="N1811" s="1"/>
    </row>
    <row r="1812" spans="12:14" x14ac:dyDescent="0.2">
      <c r="L1812" s="1"/>
      <c r="M1812" s="1"/>
      <c r="N1812" s="1"/>
    </row>
    <row r="1813" spans="12:14" x14ac:dyDescent="0.2">
      <c r="L1813" s="1"/>
      <c r="M1813" s="1"/>
      <c r="N1813" s="1"/>
    </row>
    <row r="1814" spans="12:14" x14ac:dyDescent="0.2">
      <c r="L1814" s="1"/>
      <c r="M1814" s="1"/>
      <c r="N1814" s="1"/>
    </row>
    <row r="1815" spans="12:14" x14ac:dyDescent="0.2">
      <c r="L1815" s="1"/>
      <c r="M1815" s="1"/>
      <c r="N1815" s="1"/>
    </row>
    <row r="1816" spans="12:14" x14ac:dyDescent="0.2">
      <c r="L1816" s="1"/>
      <c r="M1816" s="1"/>
      <c r="N1816" s="1"/>
    </row>
    <row r="1817" spans="12:14" x14ac:dyDescent="0.2">
      <c r="L1817" s="1"/>
      <c r="M1817" s="1"/>
      <c r="N1817" s="1"/>
    </row>
    <row r="1818" spans="12:14" x14ac:dyDescent="0.2">
      <c r="L1818" s="1"/>
      <c r="M1818" s="1"/>
      <c r="N1818" s="1"/>
    </row>
    <row r="1819" spans="12:14" x14ac:dyDescent="0.2">
      <c r="L1819" s="1"/>
      <c r="M1819" s="1"/>
      <c r="N1819" s="1"/>
    </row>
    <row r="1820" spans="12:14" x14ac:dyDescent="0.2">
      <c r="L1820" s="1"/>
      <c r="M1820" s="1"/>
      <c r="N1820" s="1"/>
    </row>
    <row r="1821" spans="12:14" x14ac:dyDescent="0.2">
      <c r="L1821" s="1"/>
      <c r="M1821" s="1"/>
      <c r="N1821" s="1"/>
    </row>
    <row r="1822" spans="12:14" x14ac:dyDescent="0.2">
      <c r="L1822" s="1"/>
      <c r="M1822" s="1"/>
      <c r="N1822" s="1"/>
    </row>
    <row r="1823" spans="12:14" x14ac:dyDescent="0.2">
      <c r="L1823" s="1"/>
      <c r="M1823" s="1"/>
      <c r="N1823" s="1"/>
    </row>
    <row r="1824" spans="12:14" x14ac:dyDescent="0.2">
      <c r="L1824" s="1"/>
      <c r="M1824" s="1"/>
    </row>
    <row r="1825" spans="12:14" x14ac:dyDescent="0.2">
      <c r="L1825" s="1"/>
      <c r="M1825" s="1"/>
      <c r="N1825" s="1"/>
    </row>
    <row r="1826" spans="12:14" x14ac:dyDescent="0.2">
      <c r="L1826" s="1"/>
      <c r="M1826" s="1"/>
    </row>
    <row r="1827" spans="12:14" x14ac:dyDescent="0.2">
      <c r="L1827" s="1"/>
      <c r="M1827" s="1"/>
      <c r="N1827" s="1"/>
    </row>
    <row r="1828" spans="12:14" x14ac:dyDescent="0.2">
      <c r="L1828" s="1"/>
      <c r="M1828" s="1"/>
      <c r="N1828" s="1"/>
    </row>
    <row r="1829" spans="12:14" x14ac:dyDescent="0.2">
      <c r="L1829" s="1"/>
      <c r="M1829" s="1"/>
      <c r="N1829" s="1"/>
    </row>
    <row r="1830" spans="12:14" x14ac:dyDescent="0.2">
      <c r="L1830" s="1"/>
      <c r="M1830" s="1"/>
      <c r="N1830" s="1"/>
    </row>
    <row r="1831" spans="12:14" x14ac:dyDescent="0.2">
      <c r="L1831" s="1"/>
      <c r="M1831" s="1"/>
      <c r="N1831" s="1"/>
    </row>
    <row r="1832" spans="12:14" x14ac:dyDescent="0.2">
      <c r="L1832" s="1"/>
      <c r="M1832" s="1"/>
      <c r="N1832" s="1"/>
    </row>
    <row r="1833" spans="12:14" x14ac:dyDescent="0.2">
      <c r="L1833" s="1"/>
      <c r="M1833" s="1"/>
      <c r="N1833" s="1"/>
    </row>
    <row r="1834" spans="12:14" x14ac:dyDescent="0.2">
      <c r="L1834" s="1"/>
      <c r="M1834" s="1"/>
      <c r="N1834" s="1"/>
    </row>
    <row r="1835" spans="12:14" x14ac:dyDescent="0.2">
      <c r="L1835" s="1"/>
      <c r="M1835" s="1"/>
      <c r="N1835" s="1"/>
    </row>
    <row r="1836" spans="12:14" x14ac:dyDescent="0.2">
      <c r="L1836" s="1"/>
      <c r="M1836" s="1"/>
      <c r="N1836" s="1"/>
    </row>
    <row r="1837" spans="12:14" x14ac:dyDescent="0.2">
      <c r="L1837" s="1"/>
      <c r="M1837" s="1"/>
      <c r="N1837" s="1"/>
    </row>
    <row r="1838" spans="12:14" x14ac:dyDescent="0.2">
      <c r="L1838" s="1"/>
      <c r="M1838" s="1"/>
      <c r="N1838" s="1"/>
    </row>
    <row r="1839" spans="12:14" x14ac:dyDescent="0.2">
      <c r="L1839" s="1"/>
      <c r="M1839" s="1"/>
      <c r="N1839" s="1"/>
    </row>
    <row r="1840" spans="12:14" x14ac:dyDescent="0.2">
      <c r="L1840" s="1"/>
      <c r="M1840" s="1"/>
      <c r="N1840" s="1"/>
    </row>
    <row r="1841" spans="12:14" x14ac:dyDescent="0.2">
      <c r="L1841" s="1"/>
      <c r="M1841" s="1"/>
      <c r="N1841" s="1"/>
    </row>
    <row r="1842" spans="12:14" x14ac:dyDescent="0.2">
      <c r="L1842" s="1"/>
      <c r="M1842" s="1"/>
      <c r="N1842" s="1"/>
    </row>
    <row r="1843" spans="12:14" x14ac:dyDescent="0.2">
      <c r="L1843" s="1"/>
      <c r="M1843" s="1"/>
      <c r="N1843" s="1"/>
    </row>
    <row r="1844" spans="12:14" x14ac:dyDescent="0.2">
      <c r="L1844" s="1"/>
      <c r="M1844" s="1"/>
    </row>
    <row r="1845" spans="12:14" x14ac:dyDescent="0.2">
      <c r="L1845" s="1"/>
      <c r="M1845" s="1"/>
      <c r="N1845" s="1"/>
    </row>
    <row r="1846" spans="12:14" x14ac:dyDescent="0.2">
      <c r="L1846" s="1"/>
      <c r="M1846" s="1"/>
      <c r="N1846" s="1"/>
    </row>
    <row r="1847" spans="12:14" x14ac:dyDescent="0.2">
      <c r="L1847" s="1"/>
      <c r="M1847" s="1"/>
      <c r="N1847" s="1"/>
    </row>
    <row r="1848" spans="12:14" x14ac:dyDescent="0.2">
      <c r="L1848" s="1"/>
      <c r="M1848" s="1"/>
      <c r="N1848" s="1"/>
    </row>
    <row r="1849" spans="12:14" x14ac:dyDescent="0.2">
      <c r="L1849" s="1"/>
      <c r="M1849" s="1"/>
      <c r="N1849" s="1"/>
    </row>
    <row r="1850" spans="12:14" x14ac:dyDescent="0.2">
      <c r="L1850" s="1"/>
      <c r="M1850" s="1"/>
      <c r="N1850" s="1"/>
    </row>
    <row r="1851" spans="12:14" x14ac:dyDescent="0.2">
      <c r="L1851" s="1"/>
      <c r="M1851" s="1"/>
    </row>
    <row r="1852" spans="12:14" x14ac:dyDescent="0.2">
      <c r="L1852" s="1"/>
      <c r="M1852" s="1"/>
    </row>
    <row r="1853" spans="12:14" x14ac:dyDescent="0.2">
      <c r="L1853" s="1"/>
      <c r="M1853" s="1"/>
      <c r="N1853" s="1"/>
    </row>
    <row r="1854" spans="12:14" x14ac:dyDescent="0.2">
      <c r="L1854" s="1"/>
      <c r="M1854" s="1"/>
      <c r="N1854" s="1"/>
    </row>
    <row r="1855" spans="12:14" x14ac:dyDescent="0.2">
      <c r="L1855" s="1"/>
      <c r="M1855" s="1"/>
      <c r="N1855" s="1"/>
    </row>
    <row r="1856" spans="12:14" x14ac:dyDescent="0.2">
      <c r="L1856" s="1"/>
      <c r="M1856" s="1"/>
    </row>
    <row r="1857" spans="12:14" x14ac:dyDescent="0.2">
      <c r="L1857" s="1"/>
      <c r="M1857" s="1"/>
      <c r="N1857" s="1"/>
    </row>
    <row r="1858" spans="12:14" x14ac:dyDescent="0.2">
      <c r="L1858" s="1"/>
      <c r="M1858" s="1"/>
      <c r="N1858" s="1"/>
    </row>
    <row r="1859" spans="12:14" x14ac:dyDescent="0.2">
      <c r="L1859" s="1"/>
      <c r="M1859" s="1"/>
      <c r="N1859" s="1"/>
    </row>
    <row r="1860" spans="12:14" x14ac:dyDescent="0.2">
      <c r="L1860" s="1"/>
      <c r="M1860" s="1"/>
      <c r="N1860" s="1"/>
    </row>
    <row r="1861" spans="12:14" x14ac:dyDescent="0.2">
      <c r="L1861" s="1"/>
      <c r="M1861" s="1"/>
      <c r="N1861" s="1"/>
    </row>
    <row r="1862" spans="12:14" x14ac:dyDescent="0.2">
      <c r="L1862" s="1"/>
      <c r="M1862" s="1"/>
      <c r="N1862" s="1"/>
    </row>
    <row r="1863" spans="12:14" x14ac:dyDescent="0.2">
      <c r="L1863" s="1"/>
      <c r="M1863" s="1"/>
      <c r="N1863" s="1"/>
    </row>
    <row r="1864" spans="12:14" x14ac:dyDescent="0.2">
      <c r="L1864" s="1"/>
      <c r="M1864" s="1"/>
      <c r="N1864" s="1"/>
    </row>
    <row r="1865" spans="12:14" x14ac:dyDescent="0.2">
      <c r="L1865" s="1"/>
      <c r="M1865" s="1"/>
      <c r="N1865" s="1"/>
    </row>
    <row r="1866" spans="12:14" x14ac:dyDescent="0.2">
      <c r="L1866" s="1"/>
      <c r="M1866" s="1"/>
      <c r="N1866" s="1"/>
    </row>
    <row r="1867" spans="12:14" x14ac:dyDescent="0.2">
      <c r="L1867" s="1"/>
      <c r="M1867" s="1"/>
      <c r="N1867" s="1"/>
    </row>
    <row r="1868" spans="12:14" x14ac:dyDescent="0.2">
      <c r="L1868" s="1"/>
      <c r="M1868" s="1"/>
      <c r="N1868" s="1"/>
    </row>
    <row r="1869" spans="12:14" x14ac:dyDescent="0.2">
      <c r="L1869" s="1"/>
      <c r="M1869" s="1"/>
      <c r="N1869" s="1"/>
    </row>
    <row r="1870" spans="12:14" x14ac:dyDescent="0.2">
      <c r="L1870" s="1"/>
      <c r="M1870" s="1"/>
      <c r="N1870" s="1"/>
    </row>
    <row r="1871" spans="12:14" x14ac:dyDescent="0.2">
      <c r="L1871" s="1"/>
      <c r="M1871" s="1"/>
      <c r="N1871" s="1"/>
    </row>
    <row r="1872" spans="12:14" x14ac:dyDescent="0.2">
      <c r="L1872" s="1"/>
      <c r="M1872" s="1"/>
      <c r="N1872" s="1"/>
    </row>
    <row r="1873" spans="12:14" x14ac:dyDescent="0.2">
      <c r="L1873" s="1"/>
      <c r="M1873" s="1"/>
      <c r="N1873" s="1"/>
    </row>
    <row r="1874" spans="12:14" x14ac:dyDescent="0.2">
      <c r="L1874" s="1"/>
      <c r="M1874" s="1"/>
      <c r="N1874" s="1"/>
    </row>
    <row r="1875" spans="12:14" x14ac:dyDescent="0.2">
      <c r="L1875" s="1"/>
      <c r="M1875" s="1"/>
      <c r="N1875" s="1"/>
    </row>
    <row r="1876" spans="12:14" x14ac:dyDescent="0.2">
      <c r="L1876" s="1"/>
      <c r="M1876" s="1"/>
      <c r="N1876" s="1"/>
    </row>
    <row r="1877" spans="12:14" x14ac:dyDescent="0.2">
      <c r="L1877" s="1"/>
      <c r="M1877" s="1"/>
      <c r="N1877" s="1"/>
    </row>
    <row r="1878" spans="12:14" x14ac:dyDescent="0.2">
      <c r="L1878" s="1"/>
      <c r="M1878" s="1"/>
      <c r="N1878" s="1"/>
    </row>
    <row r="1879" spans="12:14" x14ac:dyDescent="0.2">
      <c r="L1879" s="1"/>
      <c r="M1879" s="1"/>
      <c r="N1879" s="1"/>
    </row>
    <row r="1880" spans="12:14" x14ac:dyDescent="0.2">
      <c r="L1880" s="1"/>
      <c r="M1880" s="1"/>
      <c r="N1880" s="1"/>
    </row>
    <row r="1881" spans="12:14" x14ac:dyDescent="0.2">
      <c r="L1881" s="1"/>
      <c r="M1881" s="1"/>
      <c r="N1881" s="1"/>
    </row>
    <row r="1882" spans="12:14" x14ac:dyDescent="0.2">
      <c r="L1882" s="1"/>
      <c r="M1882" s="1"/>
      <c r="N1882" s="1"/>
    </row>
    <row r="1883" spans="12:14" x14ac:dyDescent="0.2">
      <c r="L1883" s="1"/>
      <c r="M1883" s="1"/>
      <c r="N1883" s="1"/>
    </row>
    <row r="1884" spans="12:14" x14ac:dyDescent="0.2">
      <c r="L1884" s="1"/>
      <c r="M1884" s="1"/>
      <c r="N1884" s="1"/>
    </row>
    <row r="1885" spans="12:14" x14ac:dyDescent="0.2">
      <c r="L1885" s="1"/>
      <c r="M1885" s="1"/>
      <c r="N1885" s="1"/>
    </row>
    <row r="1886" spans="12:14" x14ac:dyDescent="0.2">
      <c r="L1886" s="1"/>
      <c r="M1886" s="1"/>
      <c r="N1886" s="1"/>
    </row>
    <row r="1887" spans="12:14" x14ac:dyDescent="0.2">
      <c r="L1887" s="1"/>
      <c r="M1887" s="1"/>
      <c r="N1887" s="1"/>
    </row>
    <row r="1888" spans="12:14" x14ac:dyDescent="0.2">
      <c r="L1888" s="1"/>
      <c r="M1888" s="1"/>
      <c r="N1888" s="1"/>
    </row>
    <row r="1889" spans="12:14" x14ac:dyDescent="0.2">
      <c r="L1889" s="1"/>
      <c r="M1889" s="1"/>
      <c r="N1889" s="1"/>
    </row>
    <row r="1890" spans="12:14" x14ac:dyDescent="0.2">
      <c r="L1890" s="1"/>
      <c r="M1890" s="1"/>
      <c r="N1890" s="1"/>
    </row>
    <row r="1891" spans="12:14" x14ac:dyDescent="0.2">
      <c r="L1891" s="1"/>
      <c r="M1891" s="1"/>
      <c r="N1891" s="1"/>
    </row>
    <row r="1892" spans="12:14" x14ac:dyDescent="0.2">
      <c r="L1892" s="1"/>
      <c r="M1892" s="1"/>
      <c r="N1892" s="1"/>
    </row>
    <row r="1893" spans="12:14" x14ac:dyDescent="0.2">
      <c r="L1893" s="1"/>
      <c r="M1893" s="1"/>
      <c r="N1893" s="1"/>
    </row>
    <row r="1894" spans="12:14" x14ac:dyDescent="0.2">
      <c r="L1894" s="1"/>
      <c r="M1894" s="1"/>
      <c r="N1894" s="1"/>
    </row>
    <row r="1895" spans="12:14" x14ac:dyDescent="0.2">
      <c r="L1895" s="1"/>
      <c r="M1895" s="1"/>
      <c r="N1895" s="1"/>
    </row>
    <row r="1896" spans="12:14" x14ac:dyDescent="0.2">
      <c r="L1896" s="1"/>
      <c r="M1896" s="1"/>
      <c r="N1896" s="1"/>
    </row>
    <row r="1897" spans="12:14" x14ac:dyDescent="0.2">
      <c r="L1897" s="1"/>
      <c r="M1897" s="1"/>
      <c r="N1897" s="1"/>
    </row>
    <row r="1898" spans="12:14" x14ac:dyDescent="0.2">
      <c r="L1898" s="1"/>
      <c r="M1898" s="1"/>
      <c r="N1898" s="1"/>
    </row>
    <row r="1899" spans="12:14" x14ac:dyDescent="0.2">
      <c r="L1899" s="1"/>
      <c r="M1899" s="1"/>
      <c r="N1899" s="1"/>
    </row>
    <row r="1900" spans="12:14" x14ac:dyDescent="0.2">
      <c r="L1900" s="1"/>
      <c r="M1900" s="1"/>
      <c r="N1900" s="1"/>
    </row>
    <row r="1901" spans="12:14" x14ac:dyDescent="0.2">
      <c r="L1901" s="1"/>
      <c r="M1901" s="1"/>
      <c r="N1901" s="1"/>
    </row>
    <row r="1902" spans="12:14" x14ac:dyDescent="0.2">
      <c r="L1902" s="1"/>
      <c r="M1902" s="1"/>
      <c r="N1902" s="1"/>
    </row>
    <row r="1903" spans="12:14" x14ac:dyDescent="0.2">
      <c r="L1903" s="1"/>
      <c r="M1903" s="1"/>
      <c r="N1903" s="1"/>
    </row>
    <row r="1904" spans="12:14" x14ac:dyDescent="0.2">
      <c r="L1904" s="1"/>
      <c r="M1904" s="1"/>
      <c r="N1904" s="1"/>
    </row>
    <row r="1905" spans="12:14" x14ac:dyDescent="0.2">
      <c r="L1905" s="1"/>
      <c r="M1905" s="1"/>
      <c r="N1905" s="1"/>
    </row>
    <row r="1906" spans="12:14" x14ac:dyDescent="0.2">
      <c r="L1906" s="1"/>
      <c r="M1906" s="1"/>
      <c r="N1906" s="1"/>
    </row>
    <row r="1907" spans="12:14" x14ac:dyDescent="0.2">
      <c r="L1907" s="1"/>
      <c r="M1907" s="1"/>
      <c r="N1907" s="1"/>
    </row>
    <row r="1908" spans="12:14" x14ac:dyDescent="0.2">
      <c r="L1908" s="1"/>
      <c r="M1908" s="1"/>
      <c r="N1908" s="1"/>
    </row>
    <row r="1909" spans="12:14" x14ac:dyDescent="0.2">
      <c r="L1909" s="1"/>
      <c r="M1909" s="1"/>
      <c r="N1909" s="1"/>
    </row>
    <row r="1910" spans="12:14" x14ac:dyDescent="0.2">
      <c r="L1910" s="1"/>
      <c r="M1910" s="1"/>
      <c r="N1910" s="1"/>
    </row>
    <row r="1911" spans="12:14" x14ac:dyDescent="0.2">
      <c r="L1911" s="1"/>
      <c r="M1911" s="1"/>
      <c r="N1911" s="1"/>
    </row>
    <row r="1912" spans="12:14" x14ac:dyDescent="0.2">
      <c r="L1912" s="1"/>
      <c r="M1912" s="1"/>
      <c r="N1912" s="1"/>
    </row>
    <row r="1913" spans="12:14" x14ac:dyDescent="0.2">
      <c r="L1913" s="1"/>
      <c r="M1913" s="1"/>
      <c r="N1913" s="1"/>
    </row>
    <row r="1914" spans="12:14" x14ac:dyDescent="0.2">
      <c r="L1914" s="1"/>
      <c r="M1914" s="1"/>
      <c r="N1914" s="1"/>
    </row>
    <row r="1915" spans="12:14" x14ac:dyDescent="0.2">
      <c r="L1915" s="1"/>
      <c r="M1915" s="1"/>
      <c r="N1915" s="1"/>
    </row>
    <row r="1916" spans="12:14" x14ac:dyDescent="0.2">
      <c r="L1916" s="1"/>
      <c r="M1916" s="1"/>
      <c r="N1916" s="1"/>
    </row>
    <row r="1917" spans="12:14" x14ac:dyDescent="0.2">
      <c r="L1917" s="1"/>
      <c r="M1917" s="1"/>
      <c r="N1917" s="1"/>
    </row>
    <row r="1918" spans="12:14" x14ac:dyDescent="0.2">
      <c r="L1918" s="1"/>
      <c r="M1918" s="1"/>
      <c r="N1918" s="1"/>
    </row>
    <row r="1919" spans="12:14" x14ac:dyDescent="0.2">
      <c r="L1919" s="1"/>
      <c r="M1919" s="1"/>
      <c r="N1919" s="1"/>
    </row>
    <row r="1920" spans="12:14" x14ac:dyDescent="0.2">
      <c r="L1920" s="1"/>
      <c r="M1920" s="1"/>
      <c r="N1920" s="1"/>
    </row>
    <row r="1921" spans="12:14" x14ac:dyDescent="0.2">
      <c r="L1921" s="1"/>
      <c r="M1921" s="1"/>
      <c r="N1921" s="1"/>
    </row>
    <row r="1922" spans="12:14" x14ac:dyDescent="0.2">
      <c r="L1922" s="1"/>
      <c r="M1922" s="1"/>
      <c r="N1922" s="1"/>
    </row>
    <row r="1923" spans="12:14" x14ac:dyDescent="0.2">
      <c r="L1923" s="1"/>
      <c r="M1923" s="1"/>
      <c r="N1923" s="1"/>
    </row>
    <row r="1924" spans="12:14" x14ac:dyDescent="0.2">
      <c r="L1924" s="1"/>
      <c r="M1924" s="1"/>
      <c r="N1924" s="1"/>
    </row>
    <row r="1925" spans="12:14" x14ac:dyDescent="0.2">
      <c r="L1925" s="1"/>
      <c r="M1925" s="1"/>
      <c r="N1925" s="1"/>
    </row>
    <row r="1926" spans="12:14" x14ac:dyDescent="0.2">
      <c r="L1926" s="1"/>
      <c r="M1926" s="1"/>
      <c r="N1926" s="1"/>
    </row>
    <row r="1927" spans="12:14" x14ac:dyDescent="0.2">
      <c r="L1927" s="1"/>
      <c r="M1927" s="1"/>
      <c r="N1927" s="1"/>
    </row>
    <row r="1928" spans="12:14" x14ac:dyDescent="0.2">
      <c r="L1928" s="1"/>
      <c r="M1928" s="1"/>
      <c r="N1928" s="1"/>
    </row>
    <row r="1929" spans="12:14" x14ac:dyDescent="0.2">
      <c r="L1929" s="1"/>
      <c r="M1929" s="1"/>
      <c r="N1929" s="1"/>
    </row>
    <row r="1930" spans="12:14" x14ac:dyDescent="0.2">
      <c r="L1930" s="1"/>
      <c r="M1930" s="1"/>
      <c r="N1930" s="1"/>
    </row>
    <row r="1931" spans="12:14" x14ac:dyDescent="0.2">
      <c r="L1931" s="1"/>
      <c r="M1931" s="1"/>
      <c r="N1931" s="1"/>
    </row>
    <row r="1932" spans="12:14" x14ac:dyDescent="0.2">
      <c r="L1932" s="1"/>
      <c r="M1932" s="1"/>
      <c r="N1932" s="1"/>
    </row>
    <row r="1933" spans="12:14" x14ac:dyDescent="0.2">
      <c r="L1933" s="1"/>
      <c r="M1933" s="1"/>
      <c r="N1933" s="1"/>
    </row>
    <row r="1934" spans="12:14" x14ac:dyDescent="0.2">
      <c r="L1934" s="1"/>
      <c r="M1934" s="1"/>
      <c r="N1934" s="1"/>
    </row>
    <row r="1935" spans="12:14" x14ac:dyDescent="0.2">
      <c r="L1935" s="1"/>
      <c r="M1935" s="1"/>
      <c r="N1935" s="1"/>
    </row>
    <row r="1936" spans="12:14" x14ac:dyDescent="0.2">
      <c r="L1936" s="1"/>
      <c r="M1936" s="1"/>
      <c r="N1936" s="1"/>
    </row>
    <row r="1937" spans="12:14" x14ac:dyDescent="0.2">
      <c r="L1937" s="1"/>
      <c r="M1937" s="1"/>
      <c r="N1937" s="1"/>
    </row>
    <row r="1938" spans="12:14" x14ac:dyDescent="0.2">
      <c r="L1938" s="1"/>
      <c r="M1938" s="1"/>
      <c r="N1938" s="1"/>
    </row>
    <row r="1939" spans="12:14" x14ac:dyDescent="0.2">
      <c r="L1939" s="1"/>
      <c r="M1939" s="1"/>
      <c r="N1939" s="1"/>
    </row>
    <row r="1940" spans="12:14" x14ac:dyDescent="0.2">
      <c r="L1940" s="1"/>
      <c r="M1940" s="1"/>
      <c r="N1940" s="1"/>
    </row>
    <row r="1941" spans="12:14" x14ac:dyDescent="0.2">
      <c r="L1941" s="1"/>
      <c r="M1941" s="1"/>
      <c r="N1941" s="1"/>
    </row>
    <row r="1942" spans="12:14" x14ac:dyDescent="0.2">
      <c r="L1942" s="1"/>
      <c r="M1942" s="1"/>
      <c r="N1942" s="1"/>
    </row>
    <row r="1943" spans="12:14" x14ac:dyDescent="0.2">
      <c r="L1943" s="1"/>
      <c r="M1943" s="1"/>
      <c r="N1943" s="1"/>
    </row>
    <row r="1944" spans="12:14" x14ac:dyDescent="0.2">
      <c r="L1944" s="1"/>
      <c r="M1944" s="1"/>
      <c r="N1944" s="1"/>
    </row>
    <row r="1945" spans="12:14" x14ac:dyDescent="0.2">
      <c r="L1945" s="1"/>
      <c r="M1945" s="1"/>
      <c r="N1945" s="1"/>
    </row>
    <row r="1946" spans="12:14" x14ac:dyDescent="0.2">
      <c r="L1946" s="1"/>
      <c r="M1946" s="1"/>
      <c r="N1946" s="1"/>
    </row>
    <row r="1947" spans="12:14" x14ac:dyDescent="0.2">
      <c r="L1947" s="1"/>
      <c r="M1947" s="1"/>
      <c r="N1947" s="1"/>
    </row>
    <row r="1948" spans="12:14" x14ac:dyDescent="0.2">
      <c r="L1948" s="1"/>
      <c r="M1948" s="1"/>
      <c r="N1948" s="1"/>
    </row>
    <row r="1949" spans="12:14" x14ac:dyDescent="0.2">
      <c r="L1949" s="1"/>
      <c r="M1949" s="1"/>
      <c r="N1949" s="1"/>
    </row>
    <row r="1950" spans="12:14" x14ac:dyDescent="0.2">
      <c r="L1950" s="1"/>
      <c r="M1950" s="1"/>
      <c r="N1950" s="1"/>
    </row>
    <row r="1951" spans="12:14" x14ac:dyDescent="0.2">
      <c r="L1951" s="1"/>
      <c r="M1951" s="1"/>
      <c r="N1951" s="1"/>
    </row>
    <row r="1952" spans="12:14" x14ac:dyDescent="0.2">
      <c r="L1952" s="1"/>
      <c r="M1952" s="1"/>
      <c r="N1952" s="1"/>
    </row>
    <row r="1953" spans="12:14" x14ac:dyDescent="0.2">
      <c r="L1953" s="1"/>
      <c r="M1953" s="1"/>
      <c r="N1953" s="1"/>
    </row>
    <row r="1954" spans="12:14" x14ac:dyDescent="0.2">
      <c r="L1954" s="1"/>
      <c r="M1954" s="1"/>
      <c r="N1954" s="1"/>
    </row>
    <row r="1955" spans="12:14" x14ac:dyDescent="0.2">
      <c r="L1955" s="1"/>
      <c r="M1955" s="1"/>
      <c r="N1955" s="1"/>
    </row>
    <row r="1956" spans="12:14" x14ac:dyDescent="0.2">
      <c r="L1956" s="1"/>
      <c r="M1956" s="1"/>
      <c r="N1956" s="1"/>
    </row>
    <row r="1957" spans="12:14" x14ac:dyDescent="0.2">
      <c r="L1957" s="1"/>
      <c r="M1957" s="1"/>
      <c r="N1957" s="1"/>
    </row>
    <row r="1958" spans="12:14" x14ac:dyDescent="0.2">
      <c r="L1958" s="1"/>
      <c r="M1958" s="1"/>
      <c r="N1958" s="1"/>
    </row>
    <row r="1959" spans="12:14" x14ac:dyDescent="0.2">
      <c r="L1959" s="1"/>
      <c r="M1959" s="1"/>
      <c r="N1959" s="1"/>
    </row>
    <row r="1960" spans="12:14" x14ac:dyDescent="0.2">
      <c r="L1960" s="1"/>
      <c r="M1960" s="1"/>
      <c r="N1960" s="1"/>
    </row>
    <row r="1961" spans="12:14" x14ac:dyDescent="0.2">
      <c r="L1961" s="1"/>
      <c r="M1961" s="1"/>
      <c r="N1961" s="1"/>
    </row>
    <row r="1962" spans="12:14" x14ac:dyDescent="0.2">
      <c r="L1962" s="1"/>
      <c r="M1962" s="1"/>
      <c r="N1962" s="1"/>
    </row>
    <row r="1963" spans="12:14" x14ac:dyDescent="0.2">
      <c r="L1963" s="1"/>
      <c r="M1963" s="1"/>
      <c r="N1963" s="1"/>
    </row>
    <row r="1964" spans="12:14" x14ac:dyDescent="0.2">
      <c r="L1964" s="1"/>
      <c r="M1964" s="1"/>
      <c r="N1964" s="1"/>
    </row>
    <row r="1965" spans="12:14" x14ac:dyDescent="0.2">
      <c r="L1965" s="1"/>
      <c r="M1965" s="1"/>
      <c r="N1965" s="1"/>
    </row>
    <row r="1966" spans="12:14" x14ac:dyDescent="0.2">
      <c r="L1966" s="1"/>
      <c r="M1966" s="1"/>
      <c r="N1966" s="1"/>
    </row>
    <row r="1967" spans="12:14" x14ac:dyDescent="0.2">
      <c r="L1967" s="1"/>
      <c r="M1967" s="1"/>
      <c r="N1967" s="1"/>
    </row>
    <row r="1968" spans="12:14" x14ac:dyDescent="0.2">
      <c r="L1968" s="1"/>
      <c r="M1968" s="1"/>
      <c r="N1968" s="1"/>
    </row>
    <row r="1969" spans="12:14" x14ac:dyDescent="0.2">
      <c r="L1969" s="1"/>
      <c r="M1969" s="1"/>
      <c r="N1969" s="1"/>
    </row>
    <row r="1970" spans="12:14" x14ac:dyDescent="0.2">
      <c r="L1970" s="1"/>
      <c r="M1970" s="1"/>
      <c r="N1970" s="1"/>
    </row>
    <row r="1971" spans="12:14" x14ac:dyDescent="0.2">
      <c r="L1971" s="1"/>
      <c r="M1971" s="1"/>
      <c r="N1971" s="1"/>
    </row>
    <row r="1972" spans="12:14" x14ac:dyDescent="0.2">
      <c r="L1972" s="1"/>
      <c r="M1972" s="1"/>
      <c r="N1972" s="1"/>
    </row>
    <row r="1973" spans="12:14" x14ac:dyDescent="0.2">
      <c r="L1973" s="1"/>
      <c r="M1973" s="1"/>
      <c r="N1973" s="1"/>
    </row>
    <row r="1974" spans="12:14" x14ac:dyDescent="0.2">
      <c r="L1974" s="1"/>
      <c r="M1974" s="1"/>
      <c r="N1974" s="1"/>
    </row>
    <row r="1975" spans="12:14" x14ac:dyDescent="0.2">
      <c r="L1975" s="1"/>
      <c r="M1975" s="1"/>
      <c r="N1975" s="1"/>
    </row>
    <row r="1976" spans="12:14" x14ac:dyDescent="0.2">
      <c r="L1976" s="1"/>
      <c r="M1976" s="1"/>
      <c r="N1976" s="1"/>
    </row>
    <row r="1977" spans="12:14" x14ac:dyDescent="0.2">
      <c r="L1977" s="1"/>
      <c r="M1977" s="1"/>
      <c r="N1977" s="1"/>
    </row>
    <row r="1978" spans="12:14" x14ac:dyDescent="0.2">
      <c r="L1978" s="1"/>
      <c r="M1978" s="1"/>
      <c r="N1978" s="1"/>
    </row>
    <row r="1979" spans="12:14" x14ac:dyDescent="0.2">
      <c r="L1979" s="1"/>
      <c r="M1979" s="1"/>
      <c r="N1979" s="1"/>
    </row>
    <row r="1980" spans="12:14" x14ac:dyDescent="0.2">
      <c r="L1980" s="1"/>
      <c r="M1980" s="1"/>
      <c r="N1980" s="1"/>
    </row>
    <row r="1981" spans="12:14" x14ac:dyDescent="0.2">
      <c r="L1981" s="1"/>
      <c r="M1981" s="1"/>
      <c r="N1981" s="1"/>
    </row>
    <row r="1982" spans="12:14" x14ac:dyDescent="0.2">
      <c r="L1982" s="1"/>
      <c r="M1982" s="1"/>
      <c r="N1982" s="1"/>
    </row>
    <row r="1983" spans="12:14" x14ac:dyDescent="0.2">
      <c r="L1983" s="1"/>
      <c r="M1983" s="1"/>
      <c r="N1983" s="1"/>
    </row>
    <row r="1984" spans="12:14" x14ac:dyDescent="0.2">
      <c r="L1984" s="1"/>
      <c r="M1984" s="1"/>
      <c r="N1984" s="1"/>
    </row>
    <row r="1985" spans="12:14" x14ac:dyDescent="0.2">
      <c r="L1985" s="1"/>
      <c r="M1985" s="1"/>
      <c r="N1985" s="1"/>
    </row>
    <row r="1986" spans="12:14" x14ac:dyDescent="0.2">
      <c r="L1986" s="1"/>
      <c r="M1986" s="1"/>
      <c r="N1986" s="1"/>
    </row>
    <row r="1987" spans="12:14" x14ac:dyDescent="0.2">
      <c r="L1987" s="1"/>
      <c r="M1987" s="1"/>
      <c r="N1987" s="1"/>
    </row>
    <row r="1988" spans="12:14" x14ac:dyDescent="0.2">
      <c r="L1988" s="1"/>
      <c r="M1988" s="1"/>
      <c r="N1988" s="1"/>
    </row>
    <row r="1989" spans="12:14" x14ac:dyDescent="0.2">
      <c r="L1989" s="1"/>
      <c r="M1989" s="1"/>
      <c r="N1989" s="1"/>
    </row>
    <row r="1990" spans="12:14" x14ac:dyDescent="0.2">
      <c r="L1990" s="1"/>
      <c r="M1990" s="1"/>
      <c r="N1990" s="1"/>
    </row>
    <row r="1991" spans="12:14" x14ac:dyDescent="0.2">
      <c r="L1991" s="1"/>
      <c r="M1991" s="1"/>
      <c r="N1991" s="1"/>
    </row>
    <row r="1992" spans="12:14" x14ac:dyDescent="0.2">
      <c r="L1992" s="1"/>
      <c r="M1992" s="1"/>
      <c r="N1992" s="1"/>
    </row>
    <row r="1993" spans="12:14" x14ac:dyDescent="0.2">
      <c r="L1993" s="1"/>
      <c r="M1993" s="1"/>
      <c r="N1993" s="1"/>
    </row>
    <row r="1994" spans="12:14" x14ac:dyDescent="0.2">
      <c r="L1994" s="1"/>
      <c r="M1994" s="1"/>
      <c r="N1994" s="1"/>
    </row>
    <row r="1995" spans="12:14" x14ac:dyDescent="0.2">
      <c r="L1995" s="1"/>
      <c r="M1995" s="1"/>
      <c r="N1995" s="1"/>
    </row>
    <row r="1996" spans="12:14" x14ac:dyDescent="0.2">
      <c r="L1996" s="1"/>
      <c r="M1996" s="1"/>
      <c r="N1996" s="1"/>
    </row>
    <row r="1997" spans="12:14" x14ac:dyDescent="0.2">
      <c r="L1997" s="1"/>
      <c r="M1997" s="1"/>
      <c r="N1997" s="1"/>
    </row>
    <row r="1998" spans="12:14" x14ac:dyDescent="0.2">
      <c r="L1998" s="1"/>
      <c r="M1998" s="1"/>
      <c r="N1998" s="1"/>
    </row>
    <row r="1999" spans="12:14" x14ac:dyDescent="0.2">
      <c r="L1999" s="1"/>
      <c r="M1999" s="1"/>
      <c r="N1999" s="1"/>
    </row>
    <row r="2000" spans="12:14" x14ac:dyDescent="0.2">
      <c r="L2000" s="1"/>
      <c r="M2000" s="1"/>
      <c r="N2000" s="1"/>
    </row>
    <row r="2001" spans="12:14" x14ac:dyDescent="0.2">
      <c r="L2001" s="1"/>
      <c r="M2001" s="1"/>
      <c r="N2001" s="1"/>
    </row>
    <row r="2002" spans="12:14" x14ac:dyDescent="0.2">
      <c r="L2002" s="1"/>
      <c r="M2002" s="1"/>
      <c r="N2002" s="1"/>
    </row>
    <row r="2003" spans="12:14" x14ac:dyDescent="0.2">
      <c r="L2003" s="1"/>
      <c r="M2003" s="1"/>
      <c r="N2003" s="1"/>
    </row>
    <row r="2004" spans="12:14" x14ac:dyDescent="0.2">
      <c r="L2004" s="1"/>
      <c r="M2004" s="1"/>
      <c r="N2004" s="1"/>
    </row>
    <row r="2005" spans="12:14" x14ac:dyDescent="0.2">
      <c r="L2005" s="1"/>
      <c r="M2005" s="1"/>
      <c r="N2005" s="1"/>
    </row>
    <row r="2006" spans="12:14" x14ac:dyDescent="0.2">
      <c r="L2006" s="1"/>
      <c r="M2006" s="1"/>
      <c r="N2006" s="1"/>
    </row>
    <row r="2007" spans="12:14" x14ac:dyDescent="0.2">
      <c r="L2007" s="1"/>
      <c r="M2007" s="1"/>
      <c r="N2007" s="1"/>
    </row>
    <row r="2008" spans="12:14" x14ac:dyDescent="0.2">
      <c r="L2008" s="1"/>
      <c r="M2008" s="1"/>
      <c r="N2008" s="1"/>
    </row>
    <row r="2009" spans="12:14" x14ac:dyDescent="0.2">
      <c r="L2009" s="1"/>
      <c r="M2009" s="1"/>
      <c r="N2009" s="1"/>
    </row>
    <row r="2010" spans="12:14" x14ac:dyDescent="0.2">
      <c r="L2010" s="1"/>
      <c r="M2010" s="1"/>
      <c r="N2010" s="1"/>
    </row>
    <row r="2011" spans="12:14" x14ac:dyDescent="0.2">
      <c r="L2011" s="1"/>
      <c r="M2011" s="1"/>
      <c r="N2011" s="1"/>
    </row>
    <row r="2012" spans="12:14" x14ac:dyDescent="0.2">
      <c r="L2012" s="1"/>
      <c r="M2012" s="1"/>
      <c r="N2012" s="1"/>
    </row>
    <row r="2013" spans="12:14" x14ac:dyDescent="0.2">
      <c r="L2013" s="1"/>
      <c r="M2013" s="1"/>
      <c r="N2013" s="1"/>
    </row>
    <row r="2014" spans="12:14" x14ac:dyDescent="0.2">
      <c r="L2014" s="1"/>
      <c r="M2014" s="1"/>
      <c r="N2014" s="1"/>
    </row>
    <row r="2015" spans="12:14" x14ac:dyDescent="0.2">
      <c r="L2015" s="1"/>
      <c r="M2015" s="1"/>
      <c r="N2015" s="1"/>
    </row>
    <row r="2016" spans="12:14" x14ac:dyDescent="0.2">
      <c r="L2016" s="1"/>
      <c r="M2016" s="1"/>
      <c r="N2016" s="1"/>
    </row>
    <row r="2017" spans="12:14" x14ac:dyDescent="0.2">
      <c r="L2017" s="1"/>
      <c r="M2017" s="1"/>
      <c r="N2017" s="1"/>
    </row>
    <row r="2018" spans="12:14" x14ac:dyDescent="0.2">
      <c r="L2018" s="1"/>
      <c r="M2018" s="1"/>
      <c r="N2018" s="1"/>
    </row>
    <row r="2019" spans="12:14" x14ac:dyDescent="0.2">
      <c r="L2019" s="1"/>
      <c r="M2019" s="1"/>
      <c r="N2019" s="1"/>
    </row>
    <row r="2020" spans="12:14" x14ac:dyDescent="0.2">
      <c r="L2020" s="1"/>
      <c r="M2020" s="1"/>
      <c r="N2020" s="1"/>
    </row>
    <row r="2021" spans="12:14" x14ac:dyDescent="0.2">
      <c r="L2021" s="1"/>
      <c r="M2021" s="1"/>
      <c r="N2021" s="1"/>
    </row>
    <row r="2022" spans="12:14" x14ac:dyDescent="0.2">
      <c r="L2022" s="1"/>
      <c r="M2022" s="1"/>
      <c r="N2022" s="1"/>
    </row>
    <row r="2023" spans="12:14" x14ac:dyDescent="0.2">
      <c r="L2023" s="1"/>
      <c r="M2023" s="1"/>
      <c r="N2023" s="1"/>
    </row>
    <row r="2024" spans="12:14" x14ac:dyDescent="0.2">
      <c r="L2024" s="1"/>
      <c r="M2024" s="1"/>
      <c r="N2024" s="1"/>
    </row>
    <row r="2025" spans="12:14" x14ac:dyDescent="0.2">
      <c r="L2025" s="1"/>
      <c r="M2025" s="1"/>
      <c r="N2025" s="1"/>
    </row>
    <row r="2026" spans="12:14" x14ac:dyDescent="0.2">
      <c r="L2026" s="1"/>
      <c r="M2026" s="1"/>
      <c r="N2026" s="1"/>
    </row>
    <row r="2027" spans="12:14" x14ac:dyDescent="0.2">
      <c r="L2027" s="1"/>
      <c r="M2027" s="1"/>
      <c r="N2027" s="1"/>
    </row>
    <row r="2028" spans="12:14" x14ac:dyDescent="0.2">
      <c r="L2028" s="1"/>
      <c r="M2028" s="1"/>
      <c r="N2028" s="1"/>
    </row>
    <row r="2029" spans="12:14" x14ac:dyDescent="0.2">
      <c r="L2029" s="1"/>
      <c r="M2029" s="1"/>
      <c r="N2029" s="1"/>
    </row>
    <row r="2030" spans="12:14" x14ac:dyDescent="0.2">
      <c r="L2030" s="1"/>
      <c r="M2030" s="1"/>
      <c r="N2030" s="1"/>
    </row>
    <row r="2031" spans="12:14" x14ac:dyDescent="0.2">
      <c r="L2031" s="1"/>
      <c r="M2031" s="1"/>
      <c r="N2031" s="1"/>
    </row>
    <row r="2032" spans="12:14" x14ac:dyDescent="0.2">
      <c r="L2032" s="1"/>
      <c r="M2032" s="1"/>
      <c r="N2032" s="1"/>
    </row>
    <row r="2033" spans="12:14" x14ac:dyDescent="0.2">
      <c r="L2033" s="1"/>
      <c r="M2033" s="1"/>
      <c r="N2033" s="1"/>
    </row>
    <row r="2034" spans="12:14" x14ac:dyDescent="0.2">
      <c r="L2034" s="1"/>
      <c r="M2034" s="1"/>
      <c r="N2034" s="1"/>
    </row>
    <row r="2035" spans="12:14" x14ac:dyDescent="0.2">
      <c r="L2035" s="1"/>
      <c r="M2035" s="1"/>
      <c r="N2035" s="1"/>
    </row>
    <row r="2036" spans="12:14" x14ac:dyDescent="0.2">
      <c r="L2036" s="1"/>
      <c r="M2036" s="1"/>
      <c r="N2036" s="1"/>
    </row>
    <row r="2037" spans="12:14" x14ac:dyDescent="0.2">
      <c r="L2037" s="1"/>
      <c r="M2037" s="1"/>
      <c r="N2037" s="1"/>
    </row>
    <row r="2038" spans="12:14" x14ac:dyDescent="0.2">
      <c r="L2038" s="1"/>
      <c r="M2038" s="1"/>
      <c r="N2038" s="1"/>
    </row>
    <row r="2039" spans="12:14" x14ac:dyDescent="0.2">
      <c r="L2039" s="1"/>
      <c r="M2039" s="1"/>
      <c r="N2039" s="1"/>
    </row>
    <row r="2040" spans="12:14" x14ac:dyDescent="0.2">
      <c r="L2040" s="1"/>
      <c r="M2040" s="1"/>
      <c r="N2040" s="1"/>
    </row>
    <row r="2041" spans="12:14" x14ac:dyDescent="0.2">
      <c r="L2041" s="1"/>
      <c r="M2041" s="1"/>
      <c r="N2041" s="1"/>
    </row>
    <row r="2042" spans="12:14" x14ac:dyDescent="0.2">
      <c r="L2042" s="1"/>
      <c r="M2042" s="1"/>
      <c r="N2042" s="1"/>
    </row>
    <row r="2043" spans="12:14" x14ac:dyDescent="0.2">
      <c r="L2043" s="1"/>
      <c r="M2043" s="1"/>
      <c r="N2043" s="1"/>
    </row>
    <row r="2044" spans="12:14" x14ac:dyDescent="0.2">
      <c r="L2044" s="1"/>
      <c r="M2044" s="1"/>
      <c r="N2044" s="1"/>
    </row>
    <row r="2045" spans="12:14" x14ac:dyDescent="0.2">
      <c r="L2045" s="1"/>
      <c r="M2045" s="1"/>
      <c r="N2045" s="1"/>
    </row>
    <row r="2046" spans="12:14" x14ac:dyDescent="0.2">
      <c r="L2046" s="1"/>
      <c r="M2046" s="1"/>
      <c r="N2046" s="1"/>
    </row>
    <row r="2047" spans="12:14" x14ac:dyDescent="0.2">
      <c r="L2047" s="1"/>
      <c r="M2047" s="1"/>
      <c r="N2047" s="1"/>
    </row>
    <row r="2048" spans="12:14" x14ac:dyDescent="0.2">
      <c r="L2048" s="1"/>
      <c r="M2048" s="1"/>
      <c r="N2048" s="1"/>
    </row>
    <row r="2049" spans="12:14" x14ac:dyDescent="0.2">
      <c r="L2049" s="1"/>
      <c r="M2049" s="1"/>
      <c r="N2049" s="1"/>
    </row>
    <row r="2050" spans="12:14" x14ac:dyDescent="0.2">
      <c r="L2050" s="1"/>
      <c r="M2050" s="1"/>
      <c r="N2050" s="1"/>
    </row>
    <row r="2051" spans="12:14" x14ac:dyDescent="0.2">
      <c r="L2051" s="1"/>
      <c r="M2051" s="1"/>
      <c r="N2051" s="1"/>
    </row>
    <row r="2052" spans="12:14" x14ac:dyDescent="0.2">
      <c r="L2052" s="1"/>
      <c r="M2052" s="1"/>
      <c r="N2052" s="1"/>
    </row>
    <row r="2053" spans="12:14" x14ac:dyDescent="0.2">
      <c r="L2053" s="1"/>
      <c r="M2053" s="1"/>
      <c r="N2053" s="1"/>
    </row>
    <row r="2054" spans="12:14" x14ac:dyDescent="0.2">
      <c r="L2054" s="1"/>
      <c r="M2054" s="1"/>
      <c r="N2054" s="1"/>
    </row>
    <row r="2055" spans="12:14" x14ac:dyDescent="0.2">
      <c r="L2055" s="1"/>
      <c r="M2055" s="1"/>
      <c r="N2055" s="1"/>
    </row>
    <row r="2056" spans="12:14" x14ac:dyDescent="0.2">
      <c r="L2056" s="1"/>
      <c r="M2056" s="1"/>
      <c r="N2056" s="1"/>
    </row>
    <row r="2057" spans="12:14" x14ac:dyDescent="0.2">
      <c r="L2057" s="1"/>
      <c r="M2057" s="1"/>
      <c r="N2057" s="1"/>
    </row>
    <row r="2058" spans="12:14" x14ac:dyDescent="0.2">
      <c r="L2058" s="1"/>
      <c r="M2058" s="1"/>
      <c r="N2058" s="1"/>
    </row>
    <row r="2059" spans="12:14" x14ac:dyDescent="0.2">
      <c r="L2059" s="1"/>
      <c r="M2059" s="1"/>
      <c r="N2059" s="1"/>
    </row>
    <row r="2060" spans="12:14" x14ac:dyDescent="0.2">
      <c r="L2060" s="1"/>
      <c r="M2060" s="1"/>
      <c r="N2060" s="1"/>
    </row>
    <row r="2061" spans="12:14" x14ac:dyDescent="0.2">
      <c r="L2061" s="1"/>
      <c r="M2061" s="1"/>
      <c r="N2061" s="1"/>
    </row>
    <row r="2062" spans="12:14" x14ac:dyDescent="0.2">
      <c r="L2062" s="1"/>
      <c r="M2062" s="1"/>
      <c r="N2062" s="1"/>
    </row>
    <row r="2063" spans="12:14" x14ac:dyDescent="0.2">
      <c r="L2063" s="1"/>
      <c r="M2063" s="1"/>
      <c r="N2063" s="1"/>
    </row>
    <row r="2064" spans="12:14" x14ac:dyDescent="0.2">
      <c r="L2064" s="1"/>
      <c r="M2064" s="1"/>
      <c r="N2064" s="1"/>
    </row>
    <row r="2065" spans="12:14" x14ac:dyDescent="0.2">
      <c r="L2065" s="1"/>
      <c r="M2065" s="1"/>
      <c r="N2065" s="1"/>
    </row>
    <row r="2066" spans="12:14" x14ac:dyDescent="0.2">
      <c r="L2066" s="1"/>
      <c r="M2066" s="1"/>
      <c r="N2066" s="1"/>
    </row>
    <row r="2067" spans="12:14" x14ac:dyDescent="0.2">
      <c r="L2067" s="1"/>
      <c r="M2067" s="1"/>
      <c r="N2067" s="1"/>
    </row>
    <row r="2068" spans="12:14" x14ac:dyDescent="0.2">
      <c r="L2068" s="1"/>
      <c r="M2068" s="1"/>
      <c r="N2068" s="1"/>
    </row>
    <row r="2069" spans="12:14" x14ac:dyDescent="0.2">
      <c r="L2069" s="1"/>
      <c r="M2069" s="1"/>
      <c r="N2069" s="1"/>
    </row>
    <row r="2070" spans="12:14" x14ac:dyDescent="0.2">
      <c r="L2070" s="1"/>
      <c r="M2070" s="1"/>
      <c r="N2070" s="1"/>
    </row>
    <row r="2071" spans="12:14" x14ac:dyDescent="0.2">
      <c r="L2071" s="1"/>
      <c r="M2071" s="1"/>
      <c r="N2071" s="1"/>
    </row>
    <row r="2072" spans="12:14" x14ac:dyDescent="0.2">
      <c r="L2072" s="1"/>
      <c r="M2072" s="1"/>
      <c r="N2072" s="1"/>
    </row>
    <row r="2073" spans="12:14" x14ac:dyDescent="0.2">
      <c r="L2073" s="1"/>
      <c r="M2073" s="1"/>
      <c r="N2073" s="1"/>
    </row>
    <row r="2074" spans="12:14" x14ac:dyDescent="0.2">
      <c r="L2074" s="1"/>
      <c r="M2074" s="1"/>
      <c r="N2074" s="1"/>
    </row>
    <row r="2075" spans="12:14" x14ac:dyDescent="0.2">
      <c r="L2075" s="1"/>
      <c r="M2075" s="1"/>
      <c r="N2075" s="1"/>
    </row>
    <row r="2076" spans="12:14" x14ac:dyDescent="0.2">
      <c r="L2076" s="1"/>
      <c r="M2076" s="1"/>
      <c r="N2076" s="1"/>
    </row>
    <row r="2077" spans="12:14" x14ac:dyDescent="0.2">
      <c r="L2077" s="1"/>
      <c r="M2077" s="1"/>
      <c r="N2077" s="1"/>
    </row>
    <row r="2078" spans="12:14" x14ac:dyDescent="0.2">
      <c r="L2078" s="1"/>
      <c r="M2078" s="1"/>
      <c r="N2078" s="1"/>
    </row>
    <row r="2079" spans="12:14" x14ac:dyDescent="0.2">
      <c r="L2079" s="1"/>
      <c r="M2079" s="1"/>
      <c r="N2079" s="1"/>
    </row>
    <row r="2080" spans="12:14" x14ac:dyDescent="0.2">
      <c r="L2080" s="1"/>
      <c r="M2080" s="1"/>
      <c r="N2080" s="1"/>
    </row>
    <row r="2081" spans="12:14" x14ac:dyDescent="0.2">
      <c r="L2081" s="1"/>
      <c r="M2081" s="1"/>
      <c r="N2081" s="1"/>
    </row>
    <row r="2082" spans="12:14" x14ac:dyDescent="0.2">
      <c r="L2082" s="1"/>
      <c r="M2082" s="1"/>
      <c r="N2082" s="1"/>
    </row>
    <row r="2083" spans="12:14" x14ac:dyDescent="0.2">
      <c r="L2083" s="1"/>
      <c r="M2083" s="1"/>
      <c r="N2083" s="1"/>
    </row>
    <row r="2084" spans="12:14" x14ac:dyDescent="0.2">
      <c r="L2084" s="1"/>
      <c r="M2084" s="1"/>
      <c r="N2084" s="1"/>
    </row>
    <row r="2085" spans="12:14" x14ac:dyDescent="0.2">
      <c r="L2085" s="1"/>
      <c r="M2085" s="1"/>
      <c r="N2085" s="1"/>
    </row>
    <row r="2086" spans="12:14" x14ac:dyDescent="0.2">
      <c r="L2086" s="1"/>
      <c r="M2086" s="1"/>
      <c r="N2086" s="1"/>
    </row>
    <row r="2087" spans="12:14" x14ac:dyDescent="0.2">
      <c r="L2087" s="1"/>
      <c r="M2087" s="1"/>
      <c r="N2087" s="1"/>
    </row>
    <row r="2088" spans="12:14" x14ac:dyDescent="0.2">
      <c r="L2088" s="1"/>
      <c r="M2088" s="1"/>
      <c r="N2088" s="1"/>
    </row>
    <row r="2089" spans="12:14" x14ac:dyDescent="0.2">
      <c r="L2089" s="1"/>
      <c r="M2089" s="1"/>
      <c r="N2089" s="1"/>
    </row>
    <row r="2090" spans="12:14" x14ac:dyDescent="0.2">
      <c r="L2090" s="1"/>
      <c r="M2090" s="1"/>
      <c r="N2090" s="1"/>
    </row>
    <row r="2091" spans="12:14" x14ac:dyDescent="0.2">
      <c r="L2091" s="1"/>
      <c r="M2091" s="1"/>
      <c r="N2091" s="1"/>
    </row>
    <row r="2092" spans="12:14" x14ac:dyDescent="0.2">
      <c r="L2092" s="1"/>
      <c r="M2092" s="1"/>
      <c r="N2092" s="1"/>
    </row>
    <row r="2093" spans="12:14" x14ac:dyDescent="0.2">
      <c r="L2093" s="1"/>
      <c r="M2093" s="1"/>
      <c r="N2093" s="1"/>
    </row>
    <row r="2094" spans="12:14" x14ac:dyDescent="0.2">
      <c r="L2094" s="1"/>
      <c r="M2094" s="1"/>
      <c r="N2094" s="1"/>
    </row>
    <row r="2095" spans="12:14" x14ac:dyDescent="0.2">
      <c r="L2095" s="1"/>
      <c r="M2095" s="1"/>
      <c r="N2095" s="1"/>
    </row>
    <row r="2096" spans="12:14" x14ac:dyDescent="0.2">
      <c r="L2096" s="1"/>
      <c r="M2096" s="1"/>
      <c r="N2096" s="1"/>
    </row>
    <row r="2097" spans="12:14" x14ac:dyDescent="0.2">
      <c r="L2097" s="1"/>
      <c r="M2097" s="1"/>
      <c r="N2097" s="1"/>
    </row>
    <row r="2098" spans="12:14" x14ac:dyDescent="0.2">
      <c r="L2098" s="1"/>
      <c r="M2098" s="1"/>
      <c r="N2098" s="1"/>
    </row>
    <row r="2099" spans="12:14" x14ac:dyDescent="0.2">
      <c r="L2099" s="1"/>
      <c r="M2099" s="1"/>
      <c r="N2099" s="1"/>
    </row>
    <row r="2100" spans="12:14" x14ac:dyDescent="0.2">
      <c r="L2100" s="1"/>
      <c r="M2100" s="1"/>
      <c r="N2100" s="1"/>
    </row>
    <row r="2101" spans="12:14" x14ac:dyDescent="0.2">
      <c r="L2101" s="1"/>
      <c r="M2101" s="1"/>
      <c r="N2101" s="1"/>
    </row>
    <row r="2102" spans="12:14" x14ac:dyDescent="0.2">
      <c r="L2102" s="1"/>
      <c r="M2102" s="1"/>
      <c r="N2102" s="1"/>
    </row>
    <row r="2103" spans="12:14" x14ac:dyDescent="0.2">
      <c r="L2103" s="1"/>
      <c r="M2103" s="1"/>
      <c r="N2103" s="1"/>
    </row>
    <row r="2104" spans="12:14" x14ac:dyDescent="0.2">
      <c r="L2104" s="1"/>
      <c r="M2104" s="1"/>
      <c r="N2104" s="1"/>
    </row>
    <row r="2105" spans="12:14" x14ac:dyDescent="0.2">
      <c r="L2105" s="1"/>
      <c r="M2105" s="1"/>
      <c r="N2105" s="1"/>
    </row>
    <row r="2106" spans="12:14" x14ac:dyDescent="0.2">
      <c r="L2106" s="1"/>
      <c r="M2106" s="1"/>
      <c r="N2106" s="1"/>
    </row>
    <row r="2107" spans="12:14" x14ac:dyDescent="0.2">
      <c r="L2107" s="1"/>
      <c r="M2107" s="1"/>
      <c r="N2107" s="1"/>
    </row>
    <row r="2108" spans="12:14" x14ac:dyDescent="0.2">
      <c r="L2108" s="1"/>
      <c r="M2108" s="1"/>
      <c r="N2108" s="1"/>
    </row>
    <row r="2109" spans="12:14" x14ac:dyDescent="0.2">
      <c r="L2109" s="1"/>
      <c r="M2109" s="1"/>
      <c r="N2109" s="1"/>
    </row>
    <row r="2110" spans="12:14" x14ac:dyDescent="0.2">
      <c r="L2110" s="1"/>
      <c r="M2110" s="1"/>
      <c r="N2110" s="1"/>
    </row>
    <row r="2111" spans="12:14" x14ac:dyDescent="0.2">
      <c r="L2111" s="1"/>
      <c r="M2111" s="1"/>
      <c r="N2111" s="1"/>
    </row>
    <row r="2112" spans="12:14" x14ac:dyDescent="0.2">
      <c r="L2112" s="1"/>
      <c r="M2112" s="1"/>
      <c r="N2112" s="1"/>
    </row>
    <row r="2113" spans="12:14" x14ac:dyDescent="0.2">
      <c r="L2113" s="1"/>
      <c r="M2113" s="1"/>
      <c r="N2113" s="1"/>
    </row>
    <row r="2114" spans="12:14" x14ac:dyDescent="0.2">
      <c r="L2114" s="1"/>
      <c r="M2114" s="1"/>
      <c r="N2114" s="1"/>
    </row>
    <row r="2115" spans="12:14" x14ac:dyDescent="0.2">
      <c r="L2115" s="1"/>
      <c r="M2115" s="1"/>
      <c r="N2115" s="1"/>
    </row>
    <row r="2116" spans="12:14" x14ac:dyDescent="0.2">
      <c r="L2116" s="1"/>
      <c r="M2116" s="1"/>
      <c r="N2116" s="1"/>
    </row>
    <row r="2117" spans="12:14" x14ac:dyDescent="0.2">
      <c r="L2117" s="1"/>
      <c r="M2117" s="1"/>
      <c r="N2117" s="1"/>
    </row>
    <row r="2118" spans="12:14" x14ac:dyDescent="0.2">
      <c r="L2118" s="1"/>
      <c r="M2118" s="1"/>
    </row>
    <row r="2119" spans="12:14" x14ac:dyDescent="0.2">
      <c r="L2119" s="1"/>
      <c r="M2119" s="1"/>
      <c r="N2119" s="1"/>
    </row>
    <row r="2120" spans="12:14" x14ac:dyDescent="0.2">
      <c r="L2120" s="1"/>
      <c r="M2120" s="1"/>
      <c r="N2120" s="1"/>
    </row>
    <row r="2121" spans="12:14" x14ac:dyDescent="0.2">
      <c r="L2121" s="1"/>
      <c r="M2121" s="1"/>
      <c r="N2121" s="1"/>
    </row>
    <row r="2122" spans="12:14" x14ac:dyDescent="0.2">
      <c r="L2122" s="1"/>
      <c r="M2122" s="1"/>
    </row>
    <row r="2123" spans="12:14" x14ac:dyDescent="0.2">
      <c r="L2123" s="1"/>
      <c r="M2123" s="1"/>
    </row>
    <row r="2124" spans="12:14" x14ac:dyDescent="0.2">
      <c r="L2124" s="1"/>
      <c r="M2124" s="1"/>
      <c r="N2124" s="1"/>
    </row>
    <row r="2125" spans="12:14" x14ac:dyDescent="0.2">
      <c r="L2125" s="1"/>
      <c r="M2125" s="1"/>
      <c r="N2125" s="1"/>
    </row>
    <row r="2126" spans="12:14" x14ac:dyDescent="0.2">
      <c r="L2126" s="1"/>
      <c r="M2126" s="1"/>
      <c r="N2126" s="1"/>
    </row>
    <row r="2127" spans="12:14" x14ac:dyDescent="0.2">
      <c r="L2127" s="1"/>
      <c r="M2127" s="1"/>
    </row>
    <row r="2128" spans="12:14" x14ac:dyDescent="0.2">
      <c r="L2128" s="1"/>
      <c r="M2128" s="1"/>
      <c r="N2128" s="1"/>
    </row>
    <row r="2129" spans="12:14" x14ac:dyDescent="0.2">
      <c r="L2129" s="1"/>
      <c r="M2129" s="1"/>
    </row>
    <row r="2130" spans="12:14" x14ac:dyDescent="0.2">
      <c r="L2130" s="1"/>
      <c r="M2130" s="1"/>
    </row>
    <row r="2131" spans="12:14" x14ac:dyDescent="0.2">
      <c r="L2131" s="1"/>
      <c r="M2131" s="1"/>
    </row>
    <row r="2132" spans="12:14" x14ac:dyDescent="0.2">
      <c r="L2132" s="1"/>
      <c r="M2132" s="1"/>
    </row>
    <row r="2133" spans="12:14" x14ac:dyDescent="0.2">
      <c r="L2133" s="1"/>
      <c r="M2133" s="1"/>
    </row>
    <row r="2134" spans="12:14" x14ac:dyDescent="0.2">
      <c r="L2134" s="1"/>
      <c r="M2134" s="1"/>
    </row>
    <row r="2135" spans="12:14" x14ac:dyDescent="0.2">
      <c r="L2135" s="1"/>
      <c r="M2135" s="1"/>
    </row>
    <row r="2136" spans="12:14" x14ac:dyDescent="0.2">
      <c r="L2136" s="1"/>
      <c r="M2136" s="1"/>
      <c r="N2136" s="1"/>
    </row>
    <row r="2137" spans="12:14" x14ac:dyDescent="0.2">
      <c r="L2137" s="1"/>
      <c r="M2137" s="1"/>
      <c r="N2137" s="1"/>
    </row>
    <row r="2138" spans="12:14" x14ac:dyDescent="0.2">
      <c r="L2138" s="1"/>
      <c r="M2138" s="1"/>
    </row>
    <row r="2139" spans="12:14" x14ac:dyDescent="0.2">
      <c r="L2139" s="1"/>
      <c r="M2139" s="1"/>
      <c r="N2139" s="1"/>
    </row>
    <row r="2140" spans="12:14" x14ac:dyDescent="0.2">
      <c r="L2140" s="1"/>
      <c r="M2140" s="1"/>
      <c r="N2140" s="1"/>
    </row>
    <row r="2141" spans="12:14" x14ac:dyDescent="0.2">
      <c r="L2141" s="1"/>
      <c r="M2141" s="1"/>
      <c r="N2141" s="1"/>
    </row>
    <row r="2142" spans="12:14" x14ac:dyDescent="0.2">
      <c r="L2142" s="1"/>
      <c r="M2142" s="1"/>
      <c r="N2142" s="1"/>
    </row>
    <row r="2143" spans="12:14" x14ac:dyDescent="0.2">
      <c r="L2143" s="1"/>
      <c r="M2143" s="1"/>
    </row>
    <row r="2144" spans="12:14" x14ac:dyDescent="0.2">
      <c r="L2144" s="1"/>
      <c r="M2144" s="1"/>
      <c r="N2144" s="1"/>
    </row>
    <row r="2145" spans="12:14" x14ac:dyDescent="0.2">
      <c r="L2145" s="1"/>
      <c r="M2145" s="1"/>
      <c r="N2145" s="1"/>
    </row>
    <row r="2146" spans="12:14" x14ac:dyDescent="0.2">
      <c r="L2146" s="1"/>
      <c r="M2146" s="1"/>
    </row>
    <row r="2147" spans="12:14" x14ac:dyDescent="0.2">
      <c r="L2147" s="1"/>
      <c r="M2147" s="1"/>
    </row>
    <row r="2148" spans="12:14" x14ac:dyDescent="0.2">
      <c r="L2148" s="1"/>
      <c r="M2148" s="1"/>
      <c r="N2148" s="1"/>
    </row>
    <row r="2149" spans="12:14" x14ac:dyDescent="0.2">
      <c r="L2149" s="1"/>
      <c r="M2149" s="1"/>
      <c r="N2149" s="1"/>
    </row>
    <row r="2150" spans="12:14" x14ac:dyDescent="0.2">
      <c r="L2150" s="1"/>
      <c r="M2150" s="1"/>
      <c r="N2150" s="1"/>
    </row>
    <row r="2151" spans="12:14" x14ac:dyDescent="0.2">
      <c r="L2151" s="1"/>
      <c r="M2151" s="1"/>
      <c r="N2151" s="1"/>
    </row>
    <row r="2152" spans="12:14" x14ac:dyDescent="0.2">
      <c r="L2152" s="1"/>
      <c r="M2152" s="1"/>
      <c r="N2152" s="1"/>
    </row>
    <row r="2153" spans="12:14" x14ac:dyDescent="0.2">
      <c r="L2153" s="1"/>
      <c r="M2153" s="1"/>
    </row>
    <row r="2154" spans="12:14" x14ac:dyDescent="0.2">
      <c r="L2154" s="1"/>
      <c r="M2154" s="1"/>
    </row>
    <row r="2155" spans="12:14" x14ac:dyDescent="0.2">
      <c r="L2155" s="1"/>
      <c r="M2155" s="1"/>
      <c r="N2155" s="1"/>
    </row>
    <row r="2156" spans="12:14" x14ac:dyDescent="0.2">
      <c r="L2156" s="1"/>
      <c r="M2156" s="1"/>
    </row>
    <row r="2157" spans="12:14" x14ac:dyDescent="0.2">
      <c r="L2157" s="1"/>
      <c r="M2157" s="1"/>
      <c r="N2157" s="1"/>
    </row>
    <row r="2158" spans="12:14" x14ac:dyDescent="0.2">
      <c r="L2158" s="1"/>
      <c r="M2158" s="1"/>
      <c r="N2158" s="1"/>
    </row>
    <row r="2159" spans="12:14" x14ac:dyDescent="0.2">
      <c r="L2159" s="1"/>
      <c r="M2159" s="1"/>
      <c r="N2159" s="1"/>
    </row>
    <row r="2160" spans="12:14" x14ac:dyDescent="0.2">
      <c r="L2160" s="1"/>
      <c r="M2160" s="1"/>
      <c r="N2160" s="1"/>
    </row>
    <row r="2161" spans="12:14" x14ac:dyDescent="0.2">
      <c r="L2161" s="1"/>
      <c r="M2161" s="1"/>
    </row>
    <row r="2162" spans="12:14" x14ac:dyDescent="0.2">
      <c r="L2162" s="1"/>
      <c r="M2162" s="1"/>
      <c r="N2162" s="1"/>
    </row>
    <row r="2163" spans="12:14" x14ac:dyDescent="0.2">
      <c r="L2163" s="1"/>
      <c r="M2163" s="1"/>
      <c r="N2163" s="1"/>
    </row>
    <row r="2164" spans="12:14" x14ac:dyDescent="0.2">
      <c r="L2164" s="1"/>
      <c r="M2164" s="1"/>
      <c r="N2164" s="1"/>
    </row>
    <row r="2165" spans="12:14" x14ac:dyDescent="0.2">
      <c r="L2165" s="1"/>
      <c r="M2165" s="1"/>
      <c r="N2165" s="1"/>
    </row>
    <row r="2166" spans="12:14" x14ac:dyDescent="0.2">
      <c r="L2166" s="1"/>
      <c r="M2166" s="1"/>
      <c r="N2166" s="1"/>
    </row>
    <row r="2167" spans="12:14" x14ac:dyDescent="0.2">
      <c r="L2167" s="1"/>
      <c r="M2167" s="1"/>
      <c r="N2167" s="1"/>
    </row>
    <row r="2168" spans="12:14" x14ac:dyDescent="0.2">
      <c r="L2168" s="1"/>
      <c r="M2168" s="1"/>
      <c r="N2168" s="1"/>
    </row>
    <row r="2169" spans="12:14" x14ac:dyDescent="0.2">
      <c r="L2169" s="1"/>
      <c r="M2169" s="1"/>
      <c r="N2169" s="1"/>
    </row>
    <row r="2170" spans="12:14" x14ac:dyDescent="0.2">
      <c r="L2170" s="1"/>
      <c r="M2170" s="1"/>
      <c r="N2170" s="1"/>
    </row>
    <row r="2171" spans="12:14" x14ac:dyDescent="0.2">
      <c r="L2171" s="1"/>
      <c r="M2171" s="1"/>
      <c r="N2171" s="1"/>
    </row>
    <row r="2172" spans="12:14" x14ac:dyDescent="0.2">
      <c r="L2172" s="1"/>
      <c r="M2172" s="1"/>
      <c r="N2172" s="1"/>
    </row>
    <row r="2173" spans="12:14" x14ac:dyDescent="0.2">
      <c r="L2173" s="1"/>
      <c r="M2173" s="1"/>
      <c r="N2173" s="1"/>
    </row>
    <row r="2174" spans="12:14" x14ac:dyDescent="0.2">
      <c r="L2174" s="1"/>
      <c r="M2174" s="1"/>
      <c r="N2174" s="1"/>
    </row>
    <row r="2175" spans="12:14" x14ac:dyDescent="0.2">
      <c r="L2175" s="1"/>
      <c r="M2175" s="1"/>
      <c r="N2175" s="1"/>
    </row>
    <row r="2176" spans="12:14" x14ac:dyDescent="0.2">
      <c r="L2176" s="1"/>
      <c r="M2176" s="1"/>
      <c r="N2176" s="1"/>
    </row>
    <row r="2177" spans="12:14" x14ac:dyDescent="0.2">
      <c r="L2177" s="1"/>
      <c r="M2177" s="1"/>
      <c r="N2177" s="1"/>
    </row>
    <row r="2178" spans="12:14" x14ac:dyDescent="0.2">
      <c r="L2178" s="1"/>
      <c r="M2178" s="1"/>
      <c r="N2178" s="1"/>
    </row>
    <row r="2179" spans="12:14" x14ac:dyDescent="0.2">
      <c r="L2179" s="1"/>
      <c r="M2179" s="1"/>
      <c r="N2179" s="1"/>
    </row>
    <row r="2180" spans="12:14" x14ac:dyDescent="0.2">
      <c r="L2180" s="1"/>
      <c r="M2180" s="1"/>
      <c r="N2180" s="1"/>
    </row>
    <row r="2181" spans="12:14" x14ac:dyDescent="0.2">
      <c r="L2181" s="1"/>
      <c r="M2181" s="1"/>
      <c r="N2181" s="1"/>
    </row>
    <row r="2182" spans="12:14" x14ac:dyDescent="0.2">
      <c r="L2182" s="1"/>
      <c r="M2182" s="1"/>
      <c r="N2182" s="1"/>
    </row>
    <row r="2183" spans="12:14" x14ac:dyDescent="0.2">
      <c r="L2183" s="1"/>
      <c r="M2183" s="1"/>
      <c r="N2183" s="1"/>
    </row>
    <row r="2184" spans="12:14" x14ac:dyDescent="0.2">
      <c r="L2184" s="1"/>
      <c r="M2184" s="1"/>
      <c r="N2184" s="1"/>
    </row>
    <row r="2185" spans="12:14" x14ac:dyDescent="0.2">
      <c r="L2185" s="1"/>
      <c r="M2185" s="1"/>
      <c r="N2185" s="1"/>
    </row>
    <row r="2186" spans="12:14" x14ac:dyDescent="0.2">
      <c r="L2186" s="1"/>
      <c r="M2186" s="1"/>
    </row>
    <row r="2187" spans="12:14" x14ac:dyDescent="0.2">
      <c r="L2187" s="1"/>
      <c r="M2187" s="1"/>
    </row>
    <row r="2188" spans="12:14" x14ac:dyDescent="0.2">
      <c r="L2188" s="1"/>
      <c r="M2188" s="1"/>
      <c r="N2188" s="1"/>
    </row>
    <row r="2189" spans="12:14" x14ac:dyDescent="0.2">
      <c r="L2189" s="1"/>
      <c r="M2189" s="1"/>
      <c r="N2189" s="1"/>
    </row>
    <row r="2190" spans="12:14" x14ac:dyDescent="0.2">
      <c r="L2190" s="1"/>
      <c r="M2190" s="1"/>
      <c r="N2190" s="1"/>
    </row>
    <row r="2191" spans="12:14" x14ac:dyDescent="0.2">
      <c r="L2191" s="1"/>
      <c r="M2191" s="1"/>
      <c r="N2191" s="1"/>
    </row>
    <row r="2192" spans="12:14" x14ac:dyDescent="0.2">
      <c r="L2192" s="1"/>
      <c r="M2192" s="1"/>
    </row>
    <row r="2193" spans="12:13" x14ac:dyDescent="0.2">
      <c r="L2193" s="1"/>
      <c r="M2193" s="1"/>
    </row>
    <row r="2194" spans="12:13" x14ac:dyDescent="0.2">
      <c r="L2194" s="1"/>
      <c r="M219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  <pageSetUpPr fitToPage="1"/>
  </sheetPr>
  <dimension ref="B1:AH63"/>
  <sheetViews>
    <sheetView showGridLines="0" showZeros="0" zoomScale="40" zoomScaleNormal="40" workbookViewId="0">
      <selection activeCell="B2" sqref="B2:AB2"/>
    </sheetView>
  </sheetViews>
  <sheetFormatPr baseColWidth="10" defaultColWidth="13.75" defaultRowHeight="16.5" x14ac:dyDescent="0.3"/>
  <cols>
    <col min="1" max="1" width="11" style="22" customWidth="1"/>
    <col min="2" max="2" width="10.625" style="22" customWidth="1"/>
    <col min="3" max="3" width="13.75" style="42"/>
    <col min="4" max="4" width="10.625" style="42" customWidth="1"/>
    <col min="5" max="8" width="13.75" style="22"/>
    <col min="9" max="9" width="14.375" style="22" customWidth="1"/>
    <col min="10" max="10" width="14.75" style="22" customWidth="1"/>
    <col min="11" max="25" width="13.75" style="22"/>
    <col min="26" max="26" width="13.75" style="22" customWidth="1"/>
    <col min="27" max="27" width="14.625" style="22" customWidth="1"/>
    <col min="28" max="28" width="13.25" style="22" customWidth="1"/>
    <col min="29" max="30" width="0" style="22" hidden="1" customWidth="1"/>
    <col min="31" max="16384" width="13.75" style="22"/>
  </cols>
  <sheetData>
    <row r="1" spans="2:32" x14ac:dyDescent="0.3">
      <c r="C1" s="22"/>
      <c r="D1" s="22"/>
    </row>
    <row r="2" spans="2:32" ht="45" customHeight="1" x14ac:dyDescent="0.3">
      <c r="B2" s="171" t="s">
        <v>220</v>
      </c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</row>
    <row r="3" spans="2:32" ht="25.5" x14ac:dyDescent="0.3">
      <c r="B3" s="172" t="str">
        <f>TEXT(Historical!H2," mmmm dd, aaaa")</f>
        <v xml:space="preserve"> marzo 06, martes</v>
      </c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</row>
    <row r="8" spans="2:32" ht="30" customHeight="1" x14ac:dyDescent="0.3">
      <c r="B8" s="164" t="s">
        <v>132</v>
      </c>
      <c r="C8" s="165"/>
      <c r="D8" s="166"/>
      <c r="E8" s="162" t="s">
        <v>29</v>
      </c>
      <c r="F8" s="162"/>
      <c r="G8" s="162" t="s">
        <v>83</v>
      </c>
      <c r="H8" s="162"/>
      <c r="I8" s="162" t="s">
        <v>147</v>
      </c>
      <c r="J8" s="162"/>
      <c r="K8" s="162" t="s">
        <v>57</v>
      </c>
      <c r="L8" s="162"/>
      <c r="M8" s="170" t="s">
        <v>49</v>
      </c>
      <c r="N8" s="162"/>
      <c r="O8" s="162" t="s">
        <v>55</v>
      </c>
      <c r="P8" s="162"/>
      <c r="Q8" s="162" t="s">
        <v>56</v>
      </c>
      <c r="R8" s="162"/>
      <c r="S8" s="162" t="s">
        <v>112</v>
      </c>
      <c r="T8" s="162"/>
      <c r="U8" s="162" t="s">
        <v>99</v>
      </c>
      <c r="V8" s="162"/>
      <c r="W8" s="162" t="s">
        <v>100</v>
      </c>
      <c r="X8" s="162"/>
      <c r="Y8" s="162" t="s">
        <v>58</v>
      </c>
      <c r="Z8" s="162"/>
      <c r="AA8" s="162" t="s">
        <v>59</v>
      </c>
      <c r="AB8" s="162"/>
    </row>
    <row r="9" spans="2:32" ht="30" customHeight="1" x14ac:dyDescent="0.3">
      <c r="B9" s="167"/>
      <c r="C9" s="168"/>
      <c r="D9" s="169"/>
      <c r="E9" s="23" t="s">
        <v>221</v>
      </c>
      <c r="F9" s="23" t="s">
        <v>21</v>
      </c>
      <c r="G9" s="23" t="s">
        <v>66</v>
      </c>
      <c r="H9" s="23" t="s">
        <v>21</v>
      </c>
      <c r="I9" s="23" t="s">
        <v>221</v>
      </c>
      <c r="J9" s="23" t="s">
        <v>21</v>
      </c>
      <c r="K9" s="23" t="s">
        <v>66</v>
      </c>
      <c r="L9" s="23" t="s">
        <v>21</v>
      </c>
      <c r="M9" s="23" t="s">
        <v>221</v>
      </c>
      <c r="N9" s="23" t="s">
        <v>21</v>
      </c>
      <c r="O9" s="23" t="s">
        <v>66</v>
      </c>
      <c r="P9" s="23" t="s">
        <v>21</v>
      </c>
      <c r="Q9" s="23" t="s">
        <v>66</v>
      </c>
      <c r="R9" s="23" t="s">
        <v>21</v>
      </c>
      <c r="S9" s="23" t="s">
        <v>66</v>
      </c>
      <c r="T9" s="23" t="s">
        <v>21</v>
      </c>
      <c r="U9" s="23" t="s">
        <v>221</v>
      </c>
      <c r="V9" s="23" t="s">
        <v>21</v>
      </c>
      <c r="W9" s="23" t="s">
        <v>66</v>
      </c>
      <c r="X9" s="23" t="s">
        <v>21</v>
      </c>
      <c r="Y9" s="23" t="s">
        <v>66</v>
      </c>
      <c r="Z9" s="23" t="s">
        <v>21</v>
      </c>
      <c r="AA9" s="23" t="s">
        <v>66</v>
      </c>
      <c r="AB9" s="23" t="s">
        <v>21</v>
      </c>
    </row>
    <row r="10" spans="2:32" ht="30" customHeight="1" x14ac:dyDescent="0.3">
      <c r="B10" s="159" t="s">
        <v>118</v>
      </c>
      <c r="C10" s="160" t="s">
        <v>119</v>
      </c>
      <c r="D10" s="160"/>
      <c r="E10" s="24">
        <f>SUMIFS(Dataset!$AJ:$AJ,Dataset!$F:$F,Resumen!E$8,Dataset!$J:$J,"&gt;="&amp;$AC10,Dataset!$J:$J,"&lt;"&amp;$AD10,Dataset!$AH:$AH,"bono de gobierno",Dataset!$T:$T,"$")</f>
        <v>0</v>
      </c>
      <c r="F10" s="25">
        <f>SUMIFS(Dataset!$AA:$AA,Dataset!$F:$F,Resumen!E$8,Dataset!$J:$J,"&gt;="&amp;$AC10,Dataset!$J:$J,"&lt;"&amp;$AD10,Dataset!$AH:$AH,"bono de gobierno",Dataset!$T:$T,"$")</f>
        <v>0</v>
      </c>
      <c r="G10" s="24">
        <f>SUMIFS(Dataset!$AJ:$AJ,Dataset!$F:$F,Resumen!G$8,Dataset!$J:$J,"&gt;="&amp;$AC10,Dataset!$J:$J,"&lt;"&amp;$AD10,Dataset!$AH:$AH,"bono de gobierno",Dataset!$T:$T,"$")</f>
        <v>0</v>
      </c>
      <c r="H10" s="25">
        <f>SUMIFS(Dataset!$AA:$AA,Dataset!$F:$F,Resumen!G$8,Dataset!$J:$J,"&gt;="&amp;$AC10,Dataset!$J:$J,"&lt;"&amp;$AD10,Dataset!$AH:$AH,"bono de gobierno",Dataset!$T:$T,"$")</f>
        <v>0</v>
      </c>
      <c r="I10" s="24">
        <f>SUMIFS(Dataset!$AJ:$AJ,Dataset!$F:$F,Resumen!I$8,Dataset!$J:$J,"&gt;="&amp;$AC10,Dataset!$J:$J,"&lt;"&amp;$AD10,Dataset!$AH:$AH,"bono de gobierno",Dataset!$T:$T,"$")</f>
        <v>0</v>
      </c>
      <c r="J10" s="25">
        <f>SUMIFS(Dataset!$AA:$AA,Dataset!$F:$F,Resumen!I$8,Dataset!$J:$J,"&gt;="&amp;$AC10,Dataset!$J:$J,"&lt;"&amp;$AD10,Dataset!$AH:$AH,"bono de gobierno",Dataset!$T:$T,"$")</f>
        <v>0</v>
      </c>
      <c r="K10" s="24">
        <f>SUMIFS(Dataset!$AJ:$AJ,Dataset!$F:$F,Resumen!K$8,Dataset!$J:$J,"&gt;="&amp;$AC10,Dataset!$J:$J,"&lt;"&amp;$AD10,Dataset!$AH:$AH,"bono de gobierno",Dataset!$T:$T,"$")</f>
        <v>0</v>
      </c>
      <c r="L10" s="25">
        <f>SUMIFS(Dataset!$AA:$AA,Dataset!$F:$F,Resumen!K$8,Dataset!$J:$J,"&gt;="&amp;$AC10,Dataset!$J:$J,"&lt;"&amp;$AD10,Dataset!$AH:$AH,"bono de gobierno",Dataset!$T:$T,"$")</f>
        <v>0</v>
      </c>
      <c r="M10" s="24">
        <f>SUMIFS(Dataset!$AJ:$AJ,Dataset!$F:$F,Resumen!M$8,Dataset!$J:$J,"&gt;="&amp;$AC10,Dataset!$J:$J,"&lt;"&amp;$AD10,Dataset!$AH:$AH,"bono de gobierno",Dataset!$T:$T,"$")</f>
        <v>0</v>
      </c>
      <c r="N10" s="25">
        <f>SUMIFS(Dataset!$AA:$AA,Dataset!$F:$F,Resumen!M$8,Dataset!$J:$J,"&gt;="&amp;$AC10,Dataset!$J:$J,"&lt;"&amp;$AD10,Dataset!$AH:$AH,"bono de gobierno",Dataset!$T:$T,"$")</f>
        <v>0</v>
      </c>
      <c r="O10" s="24">
        <f>SUMIFS(Dataset!$AJ:$AJ,Dataset!$F:$F,Resumen!O$8,Dataset!$J:$J,"&gt;="&amp;$AC10,Dataset!$J:$J,"&lt;"&amp;$AD10,Dataset!$AH:$AH,"bono de gobierno",Dataset!$T:$T,"$")</f>
        <v>0</v>
      </c>
      <c r="P10" s="25">
        <f>SUMIFS(Dataset!$AA:$AA,Dataset!$F:$F,Resumen!O$8,Dataset!$J:$J,"&gt;="&amp;$AC10,Dataset!$J:$J,"&lt;"&amp;$AD10,Dataset!$AH:$AH,"bono de gobierno",Dataset!$T:$T,"$")</f>
        <v>0</v>
      </c>
      <c r="Q10" s="24">
        <f>SUMIFS(Dataset!$AJ:$AJ,Dataset!$F:$F,Resumen!Q$8,Dataset!$J:$J,"&gt;="&amp;$AC10,Dataset!$J:$J,"&lt;"&amp;$AD10,Dataset!$AH:$AH,"bono de gobierno",Dataset!$T:$T,"$")</f>
        <v>0</v>
      </c>
      <c r="R10" s="25">
        <f>SUMIFS(Dataset!$AA:$AA,Dataset!$F:$F,Resumen!Q$8,Dataset!$J:$J,"&gt;="&amp;$AC10,Dataset!$J:$J,"&lt;"&amp;$AD10,Dataset!$AH:$AH,"bono de gobierno",Dataset!$T:$T,"$")</f>
        <v>0</v>
      </c>
      <c r="S10" s="24">
        <f>SUMIFS(Dataset!$AJ:$AJ,Dataset!$F:$F,Resumen!S$8,Dataset!$J:$J,"&gt;="&amp;$AC10,Dataset!$J:$J,"&lt;"&amp;$AD10,Dataset!$AH:$AH,"bono de gobierno",Dataset!$T:$T,"$")</f>
        <v>0</v>
      </c>
      <c r="T10" s="25">
        <f>SUMIFS(Dataset!$AA:$AA,Dataset!$F:$F,Resumen!S$8,Dataset!$J:$J,"&gt;="&amp;$AC10,Dataset!$J:$J,"&lt;"&amp;$AD10,Dataset!$AH:$AH,"bono de gobierno",Dataset!$T:$T,"$")</f>
        <v>0</v>
      </c>
      <c r="U10" s="24">
        <f>SUMIFS(Dataset!$AJ:$AJ,Dataset!$F:$F,Resumen!U$8,Dataset!$J:$J,"&gt;="&amp;$AC10,Dataset!$J:$J,"&lt;"&amp;$AD10,Dataset!$AH:$AH,"bono de gobierno",Dataset!$T:$T,"$")</f>
        <v>0</v>
      </c>
      <c r="V10" s="25">
        <f>SUMIFS(Dataset!$AA:$AA,Dataset!$F:$F,Resumen!U$8,Dataset!$J:$J,"&gt;="&amp;$AC10,Dataset!$J:$J,"&lt;"&amp;$AD10,Dataset!$AH:$AH,"bono de gobierno",Dataset!$T:$T,"$")</f>
        <v>0</v>
      </c>
      <c r="W10" s="24">
        <f>SUMIFS(Dataset!$AJ:$AJ,Dataset!$F:$F,Resumen!W$8,Dataset!$J:$J,"&gt;="&amp;$AC10,Dataset!$J:$J,"&lt;"&amp;$AD10,Dataset!$AH:$AH,"bono de gobierno",Dataset!$T:$T,"$")</f>
        <v>0</v>
      </c>
      <c r="X10" s="25">
        <f>SUMIFS(Dataset!$AA:$AA,Dataset!$F:$F,Resumen!W$8,Dataset!$J:$J,"&gt;="&amp;$AC10,Dataset!$J:$J,"&lt;"&amp;$AD10,Dataset!$AH:$AH,"bono de gobierno",Dataset!$T:$T,"$")</f>
        <v>0</v>
      </c>
      <c r="Y10" s="24">
        <f>SUMIFS(Dataset!$AJ:$AJ,Dataset!$F:$F,Resumen!Y$8,Dataset!$J:$J,"&gt;="&amp;$AC10,Dataset!$J:$J,"&lt;"&amp;$AD10,Dataset!$AH:$AH,"bono de gobierno",Dataset!$T:$T,"$")</f>
        <v>0</v>
      </c>
      <c r="Z10" s="25">
        <f>SUMIFS(Dataset!$AA:$AA,Dataset!$F:$F,Resumen!Y$8,Dataset!$J:$J,"&gt;="&amp;$AC10,Dataset!$J:$J,"&lt;"&amp;$AD10,Dataset!$AH:$AH,"bono de gobierno",Dataset!$T:$T,"$")</f>
        <v>0</v>
      </c>
      <c r="AA10" s="24">
        <f>SUMIFS(Dataset!$AJ:$AJ,Dataset!$F:$F,Resumen!AA$8,Dataset!$J:$J,"&gt;="&amp;$AC10,Dataset!$J:$J,"&lt;"&amp;$AD10,Dataset!$AH:$AH,"bono de gobierno",Dataset!$T:$T,"$")</f>
        <v>0</v>
      </c>
      <c r="AB10" s="25">
        <f>SUMIFS(Dataset!$AA:$AA,Dataset!$F:$F,Resumen!AA$8,Dataset!$J:$J,"&gt;="&amp;$AC10,Dataset!$J:$J,"&lt;"&amp;$AD10,Dataset!$AH:$AH,"bono de gobierno",Dataset!$T:$T,"$")</f>
        <v>0</v>
      </c>
      <c r="AC10" s="22">
        <v>0</v>
      </c>
      <c r="AD10" s="22">
        <v>3</v>
      </c>
      <c r="AF10" s="26"/>
    </row>
    <row r="11" spans="2:32" ht="30" customHeight="1" x14ac:dyDescent="0.3">
      <c r="B11" s="159"/>
      <c r="C11" s="160" t="s">
        <v>120</v>
      </c>
      <c r="D11" s="160"/>
      <c r="E11" s="27">
        <f>SUMIFS(Dataset!$AJ:$AJ,Dataset!$F:$F,Resumen!E$8,Dataset!$J:$J,"&gt;="&amp;$AC11,Dataset!$J:$J,"&lt;"&amp;$AD11,Dataset!$AH:$AH,"bono de gobierno",Dataset!$T:$T,"$")</f>
        <v>0</v>
      </c>
      <c r="F11" s="28">
        <f>SUMIFS(Dataset!$AA:$AA,Dataset!$F:$F,Resumen!E$8,Dataset!$J:$J,"&gt;="&amp;$AC11,Dataset!$J:$J,"&lt;"&amp;$AD11,Dataset!$AH:$AH,"bono de gobierno",Dataset!$T:$T,"$")</f>
        <v>0</v>
      </c>
      <c r="G11" s="27">
        <f>SUMIFS(Dataset!$AJ:$AJ,Dataset!$F:$F,Resumen!G$8,Dataset!$J:$J,"&gt;="&amp;$AC11,Dataset!$J:$J,"&lt;"&amp;$AD11,Dataset!$AH:$AH,"bono de gobierno",Dataset!$T:$T,"$")</f>
        <v>0</v>
      </c>
      <c r="H11" s="28">
        <f>SUMIFS(Dataset!$AA:$AA,Dataset!$F:$F,Resumen!G$8,Dataset!$J:$J,"&gt;="&amp;$AC11,Dataset!$J:$J,"&lt;"&amp;$AD11,Dataset!$AH:$AH,"bono de gobierno",Dataset!$T:$T,"$")</f>
        <v>0</v>
      </c>
      <c r="I11" s="27">
        <f>SUMIFS(Dataset!$AJ:$AJ,Dataset!$F:$F,Resumen!I$8,Dataset!$J:$J,"&gt;="&amp;$AC11,Dataset!$J:$J,"&lt;"&amp;$AD11,Dataset!$AH:$AH,"bono de gobierno",Dataset!$T:$T,"$")</f>
        <v>0</v>
      </c>
      <c r="J11" s="28">
        <f>SUMIFS(Dataset!$AA:$AA,Dataset!$F:$F,Resumen!I$8,Dataset!$J:$J,"&gt;="&amp;$AC11,Dataset!$J:$J,"&lt;"&amp;$AD11,Dataset!$AH:$AH,"bono de gobierno",Dataset!$T:$T,"$")</f>
        <v>0</v>
      </c>
      <c r="K11" s="27">
        <f>SUMIFS(Dataset!$AJ:$AJ,Dataset!$F:$F,Resumen!K$8,Dataset!$J:$J,"&gt;="&amp;$AC11,Dataset!$J:$J,"&lt;"&amp;$AD11,Dataset!$AH:$AH,"bono de gobierno",Dataset!$T:$T,"$")</f>
        <v>0</v>
      </c>
      <c r="L11" s="28">
        <f>SUMIFS(Dataset!$AA:$AA,Dataset!$F:$F,Resumen!K$8,Dataset!$J:$J,"&gt;="&amp;$AC11,Dataset!$J:$J,"&lt;"&amp;$AD11,Dataset!$AH:$AH,"bono de gobierno",Dataset!$T:$T,"$")</f>
        <v>0</v>
      </c>
      <c r="M11" s="27">
        <f>SUMIFS(Dataset!$AJ:$AJ,Dataset!$F:$F,Resumen!M$8,Dataset!$J:$J,"&gt;="&amp;$AC11,Dataset!$J:$J,"&lt;"&amp;$AD11,Dataset!$AH:$AH,"bono de gobierno",Dataset!$T:$T,"$")</f>
        <v>0</v>
      </c>
      <c r="N11" s="28">
        <f>SUMIFS(Dataset!$AA:$AA,Dataset!$F:$F,Resumen!M$8,Dataset!$J:$J,"&gt;="&amp;$AC11,Dataset!$J:$J,"&lt;"&amp;$AD11,Dataset!$AH:$AH,"bono de gobierno",Dataset!$T:$T,"$")</f>
        <v>0</v>
      </c>
      <c r="O11" s="27">
        <f>SUMIFS(Dataset!$AJ:$AJ,Dataset!$F:$F,Resumen!O$8,Dataset!$J:$J,"&gt;="&amp;$AC11,Dataset!$J:$J,"&lt;"&amp;$AD11,Dataset!$AH:$AH,"bono de gobierno",Dataset!$T:$T,"$")</f>
        <v>0</v>
      </c>
      <c r="P11" s="28">
        <f>SUMIFS(Dataset!$AA:$AA,Dataset!$F:$F,Resumen!O$8,Dataset!$J:$J,"&gt;="&amp;$AC11,Dataset!$J:$J,"&lt;"&amp;$AD11,Dataset!$AH:$AH,"bono de gobierno",Dataset!$T:$T,"$")</f>
        <v>0</v>
      </c>
      <c r="Q11" s="27">
        <f>SUMIFS(Dataset!$AJ:$AJ,Dataset!$F:$F,Resumen!Q$8,Dataset!$J:$J,"&gt;="&amp;$AC11,Dataset!$J:$J,"&lt;"&amp;$AD11,Dataset!$AH:$AH,"bono de gobierno",Dataset!$T:$T,"$")</f>
        <v>0</v>
      </c>
      <c r="R11" s="28">
        <f>SUMIFS(Dataset!$AA:$AA,Dataset!$F:$F,Resumen!Q$8,Dataset!$J:$J,"&gt;="&amp;$AC11,Dataset!$J:$J,"&lt;"&amp;$AD11,Dataset!$AH:$AH,"bono de gobierno",Dataset!$T:$T,"$")</f>
        <v>0</v>
      </c>
      <c r="S11" s="27">
        <f>SUMIFS(Dataset!$AJ:$AJ,Dataset!$F:$F,Resumen!S$8,Dataset!$J:$J,"&gt;="&amp;$AC11,Dataset!$J:$J,"&lt;"&amp;$AD11,Dataset!$AH:$AH,"bono de gobierno",Dataset!$T:$T,"$")</f>
        <v>0</v>
      </c>
      <c r="T11" s="28">
        <f>SUMIFS(Dataset!$AA:$AA,Dataset!$F:$F,Resumen!S$8,Dataset!$J:$J,"&gt;="&amp;$AC11,Dataset!$J:$J,"&lt;"&amp;$AD11,Dataset!$AH:$AH,"bono de gobierno",Dataset!$T:$T,"$")</f>
        <v>0</v>
      </c>
      <c r="U11" s="27">
        <f>SUMIFS(Dataset!$AJ:$AJ,Dataset!$F:$F,Resumen!U$8,Dataset!$J:$J,"&gt;="&amp;$AC11,Dataset!$J:$J,"&lt;"&amp;$AD11,Dataset!$AH:$AH,"bono de gobierno",Dataset!$T:$T,"$")</f>
        <v>0</v>
      </c>
      <c r="V11" s="28">
        <f>SUMIFS(Dataset!$AA:$AA,Dataset!$F:$F,Resumen!U$8,Dataset!$J:$J,"&gt;="&amp;$AC11,Dataset!$J:$J,"&lt;"&amp;$AD11,Dataset!$AH:$AH,"bono de gobierno",Dataset!$T:$T,"$")</f>
        <v>0</v>
      </c>
      <c r="W11" s="27">
        <f>SUMIFS(Dataset!$AJ:$AJ,Dataset!$F:$F,Resumen!W$8,Dataset!$J:$J,"&gt;="&amp;$AC11,Dataset!$J:$J,"&lt;"&amp;$AD11,Dataset!$AH:$AH,"bono de gobierno",Dataset!$T:$T,"$")</f>
        <v>0</v>
      </c>
      <c r="X11" s="28">
        <f>SUMIFS(Dataset!$AA:$AA,Dataset!$F:$F,Resumen!W$8,Dataset!$J:$J,"&gt;="&amp;$AC11,Dataset!$J:$J,"&lt;"&amp;$AD11,Dataset!$AH:$AH,"bono de gobierno",Dataset!$T:$T,"$")</f>
        <v>0</v>
      </c>
      <c r="Y11" s="27">
        <f>SUMIFS(Dataset!$AJ:$AJ,Dataset!$F:$F,Resumen!Y$8,Dataset!$J:$J,"&gt;="&amp;$AC11,Dataset!$J:$J,"&lt;"&amp;$AD11,Dataset!$AH:$AH,"bono de gobierno",Dataset!$T:$T,"$")</f>
        <v>0</v>
      </c>
      <c r="Z11" s="28">
        <f>SUMIFS(Dataset!$AA:$AA,Dataset!$F:$F,Resumen!Y$8,Dataset!$J:$J,"&gt;="&amp;$AC11,Dataset!$J:$J,"&lt;"&amp;$AD11,Dataset!$AH:$AH,"bono de gobierno",Dataset!$T:$T,"$")</f>
        <v>0</v>
      </c>
      <c r="AA11" s="27">
        <f>SUMIFS(Dataset!$AJ:$AJ,Dataset!$F:$F,Resumen!AA$8,Dataset!$J:$J,"&gt;="&amp;$AC11,Dataset!$J:$J,"&lt;"&amp;$AD11,Dataset!$AH:$AH,"bono de gobierno",Dataset!$T:$T,"$")</f>
        <v>0</v>
      </c>
      <c r="AB11" s="28">
        <f>SUMIFS(Dataset!$AA:$AA,Dataset!$F:$F,Resumen!AA$8,Dataset!$J:$J,"&gt;="&amp;$AC11,Dataset!$J:$J,"&lt;"&amp;$AD11,Dataset!$AH:$AH,"bono de gobierno",Dataset!$T:$T,"$")</f>
        <v>0</v>
      </c>
      <c r="AC11" s="22">
        <v>3</v>
      </c>
      <c r="AD11" s="22">
        <v>5</v>
      </c>
    </row>
    <row r="12" spans="2:32" ht="30" customHeight="1" x14ac:dyDescent="0.3">
      <c r="B12" s="159"/>
      <c r="C12" s="160" t="s">
        <v>121</v>
      </c>
      <c r="D12" s="160"/>
      <c r="E12" s="27">
        <f>SUMIFS(Dataset!$AJ:$AJ,Dataset!$F:$F,Resumen!E$8,Dataset!$J:$J,"&gt;="&amp;$AC12,Dataset!$J:$J,"&lt;"&amp;$AD12,Dataset!$AH:$AH,"bono de gobierno",Dataset!$T:$T,"$")</f>
        <v>0</v>
      </c>
      <c r="F12" s="28">
        <f>SUMIFS(Dataset!$AA:$AA,Dataset!$F:$F,Resumen!E$8,Dataset!$J:$J,"&gt;="&amp;$AC12,Dataset!$J:$J,"&lt;"&amp;$AD12,Dataset!$AH:$AH,"bono de gobierno",Dataset!$T:$T,"$")</f>
        <v>0</v>
      </c>
      <c r="G12" s="27">
        <f>SUMIFS(Dataset!$AJ:$AJ,Dataset!$F:$F,Resumen!G$8,Dataset!$J:$J,"&gt;="&amp;$AC12,Dataset!$J:$J,"&lt;"&amp;$AD12,Dataset!$AH:$AH,"bono de gobierno",Dataset!$T:$T,"$")</f>
        <v>0</v>
      </c>
      <c r="H12" s="28">
        <f>SUMIFS(Dataset!$AA:$AA,Dataset!$F:$F,Resumen!G$8,Dataset!$J:$J,"&gt;="&amp;$AC12,Dataset!$J:$J,"&lt;"&amp;$AD12,Dataset!$AH:$AH,"bono de gobierno",Dataset!$T:$T,"$")</f>
        <v>0</v>
      </c>
      <c r="I12" s="27">
        <f>SUMIFS(Dataset!$AJ:$AJ,Dataset!$F:$F,Resumen!I$8,Dataset!$J:$J,"&gt;="&amp;$AC12,Dataset!$J:$J,"&lt;"&amp;$AD12,Dataset!$AH:$AH,"bono de gobierno",Dataset!$T:$T,"$")</f>
        <v>0</v>
      </c>
      <c r="J12" s="28">
        <f>SUMIFS(Dataset!$AA:$AA,Dataset!$F:$F,Resumen!I$8,Dataset!$J:$J,"&gt;="&amp;$AC12,Dataset!$J:$J,"&lt;"&amp;$AD12,Dataset!$AH:$AH,"bono de gobierno",Dataset!$T:$T,"$")</f>
        <v>0</v>
      </c>
      <c r="K12" s="27">
        <f>SUMIFS(Dataset!$AJ:$AJ,Dataset!$F:$F,Resumen!K$8,Dataset!$J:$J,"&gt;="&amp;$AC12,Dataset!$J:$J,"&lt;"&amp;$AD12,Dataset!$AH:$AH,"bono de gobierno",Dataset!$T:$T,"$")</f>
        <v>0</v>
      </c>
      <c r="L12" s="28">
        <f>SUMIFS(Dataset!$AA:$AA,Dataset!$F:$F,Resumen!K$8,Dataset!$J:$J,"&gt;="&amp;$AC12,Dataset!$J:$J,"&lt;"&amp;$AD12,Dataset!$AH:$AH,"bono de gobierno",Dataset!$T:$T,"$")</f>
        <v>0</v>
      </c>
      <c r="M12" s="27">
        <f>SUMIFS(Dataset!$AJ:$AJ,Dataset!$F:$F,Resumen!M$8,Dataset!$J:$J,"&gt;="&amp;$AC12,Dataset!$J:$J,"&lt;"&amp;$AD12,Dataset!$AH:$AH,"bono de gobierno",Dataset!$T:$T,"$")</f>
        <v>0</v>
      </c>
      <c r="N12" s="28">
        <f>SUMIFS(Dataset!$AA:$AA,Dataset!$F:$F,Resumen!M$8,Dataset!$J:$J,"&gt;="&amp;$AC12,Dataset!$J:$J,"&lt;"&amp;$AD12,Dataset!$AH:$AH,"bono de gobierno",Dataset!$T:$T,"$")</f>
        <v>0</v>
      </c>
      <c r="O12" s="27">
        <f>SUMIFS(Dataset!$AJ:$AJ,Dataset!$F:$F,Resumen!O$8,Dataset!$J:$J,"&gt;="&amp;$AC12,Dataset!$J:$J,"&lt;"&amp;$AD12,Dataset!$AH:$AH,"bono de gobierno",Dataset!$T:$T,"$")</f>
        <v>0</v>
      </c>
      <c r="P12" s="28">
        <f>SUMIFS(Dataset!$AA:$AA,Dataset!$F:$F,Resumen!O$8,Dataset!$J:$J,"&gt;="&amp;$AC12,Dataset!$J:$J,"&lt;"&amp;$AD12,Dataset!$AH:$AH,"bono de gobierno",Dataset!$T:$T,"$")</f>
        <v>0</v>
      </c>
      <c r="Q12" s="27">
        <f>SUMIFS(Dataset!$AJ:$AJ,Dataset!$F:$F,Resumen!Q$8,Dataset!$J:$J,"&gt;="&amp;$AC12,Dataset!$J:$J,"&lt;"&amp;$AD12,Dataset!$AH:$AH,"bono de gobierno",Dataset!$T:$T,"$")</f>
        <v>0</v>
      </c>
      <c r="R12" s="28">
        <f>SUMIFS(Dataset!$AA:$AA,Dataset!$F:$F,Resumen!Q$8,Dataset!$J:$J,"&gt;="&amp;$AC12,Dataset!$J:$J,"&lt;"&amp;$AD12,Dataset!$AH:$AH,"bono de gobierno",Dataset!$T:$T,"$")</f>
        <v>0</v>
      </c>
      <c r="S12" s="27">
        <f>SUMIFS(Dataset!$AJ:$AJ,Dataset!$F:$F,Resumen!S$8,Dataset!$J:$J,"&gt;="&amp;$AC12,Dataset!$J:$J,"&lt;"&amp;$AD12,Dataset!$AH:$AH,"bono de gobierno",Dataset!$T:$T,"$")</f>
        <v>0</v>
      </c>
      <c r="T12" s="28">
        <f>SUMIFS(Dataset!$AA:$AA,Dataset!$F:$F,Resumen!S$8,Dataset!$J:$J,"&gt;="&amp;$AC12,Dataset!$J:$J,"&lt;"&amp;$AD12,Dataset!$AH:$AH,"bono de gobierno",Dataset!$T:$T,"$")</f>
        <v>0</v>
      </c>
      <c r="U12" s="27">
        <f>SUMIFS(Dataset!$AJ:$AJ,Dataset!$F:$F,Resumen!U$8,Dataset!$J:$J,"&gt;="&amp;$AC12,Dataset!$J:$J,"&lt;"&amp;$AD12,Dataset!$AH:$AH,"bono de gobierno",Dataset!$T:$T,"$")</f>
        <v>0</v>
      </c>
      <c r="V12" s="28">
        <f>SUMIFS(Dataset!$AA:$AA,Dataset!$F:$F,Resumen!U$8,Dataset!$J:$J,"&gt;="&amp;$AC12,Dataset!$J:$J,"&lt;"&amp;$AD12,Dataset!$AH:$AH,"bono de gobierno",Dataset!$T:$T,"$")</f>
        <v>0</v>
      </c>
      <c r="W12" s="27">
        <f>SUMIFS(Dataset!$AJ:$AJ,Dataset!$F:$F,Resumen!W$8,Dataset!$J:$J,"&gt;="&amp;$AC12,Dataset!$J:$J,"&lt;"&amp;$AD12,Dataset!$AH:$AH,"bono de gobierno",Dataset!$T:$T,"$")</f>
        <v>0</v>
      </c>
      <c r="X12" s="28">
        <f>SUMIFS(Dataset!$AA:$AA,Dataset!$F:$F,Resumen!W$8,Dataset!$J:$J,"&gt;="&amp;$AC12,Dataset!$J:$J,"&lt;"&amp;$AD12,Dataset!$AH:$AH,"bono de gobierno",Dataset!$T:$T,"$")</f>
        <v>0</v>
      </c>
      <c r="Y12" s="27">
        <f>SUMIFS(Dataset!$AJ:$AJ,Dataset!$F:$F,Resumen!Y$8,Dataset!$J:$J,"&gt;="&amp;$AC12,Dataset!$J:$J,"&lt;"&amp;$AD12,Dataset!$AH:$AH,"bono de gobierno",Dataset!$T:$T,"$")</f>
        <v>0</v>
      </c>
      <c r="Z12" s="28">
        <f>SUMIFS(Dataset!$AA:$AA,Dataset!$F:$F,Resumen!Y$8,Dataset!$J:$J,"&gt;="&amp;$AC12,Dataset!$J:$J,"&lt;"&amp;$AD12,Dataset!$AH:$AH,"bono de gobierno",Dataset!$T:$T,"$")</f>
        <v>0</v>
      </c>
      <c r="AA12" s="27">
        <f>SUMIFS(Dataset!$AJ:$AJ,Dataset!$F:$F,Resumen!AA$8,Dataset!$J:$J,"&gt;="&amp;$AC12,Dataset!$J:$J,"&lt;"&amp;$AD12,Dataset!$AH:$AH,"bono de gobierno",Dataset!$T:$T,"$")</f>
        <v>0</v>
      </c>
      <c r="AB12" s="28">
        <f>SUMIFS(Dataset!$AA:$AA,Dataset!$F:$F,Resumen!AA$8,Dataset!$J:$J,"&gt;="&amp;$AC12,Dataset!$J:$J,"&lt;"&amp;$AD12,Dataset!$AH:$AH,"bono de gobierno",Dataset!$T:$T,"$")</f>
        <v>0</v>
      </c>
      <c r="AC12" s="22">
        <v>5</v>
      </c>
      <c r="AD12" s="22">
        <v>10</v>
      </c>
    </row>
    <row r="13" spans="2:32" ht="30" customHeight="1" x14ac:dyDescent="0.3">
      <c r="B13" s="159"/>
      <c r="C13" s="160" t="s">
        <v>122</v>
      </c>
      <c r="D13" s="160"/>
      <c r="E13" s="29">
        <f>SUMIFS(Dataset!$AJ:$AJ,Dataset!$F:$F,Resumen!E$8,Dataset!$J:$J,"&gt;="&amp;$AC13,Dataset!$J:$J,"&lt;"&amp;$AD13,Dataset!$AH:$AH,"bono de gobierno",Dataset!$T:$T,"$")</f>
        <v>0</v>
      </c>
      <c r="F13" s="30">
        <f>SUMIFS(Dataset!$AA:$AA,Dataset!$F:$F,Resumen!E$8,Dataset!$J:$J,"&gt;="&amp;$AC13,Dataset!$J:$J,"&lt;"&amp;$AD13,Dataset!$AH:$AH,"bono de gobierno",Dataset!$T:$T,"$")</f>
        <v>0</v>
      </c>
      <c r="G13" s="29">
        <f>SUMIFS(Dataset!$AJ:$AJ,Dataset!$F:$F,Resumen!G$8,Dataset!$J:$J,"&gt;="&amp;$AC13,Dataset!$J:$J,"&lt;"&amp;$AD13,Dataset!$AH:$AH,"bono de gobierno",Dataset!$T:$T,"$")</f>
        <v>0</v>
      </c>
      <c r="H13" s="30">
        <f>SUMIFS(Dataset!$AA:$AA,Dataset!$F:$F,Resumen!G$8,Dataset!$J:$J,"&gt;="&amp;$AC13,Dataset!$J:$J,"&lt;"&amp;$AD13,Dataset!$AH:$AH,"bono de gobierno",Dataset!$T:$T,"$")</f>
        <v>0</v>
      </c>
      <c r="I13" s="29">
        <f>SUMIFS(Dataset!$AJ:$AJ,Dataset!$F:$F,Resumen!I$8,Dataset!$J:$J,"&gt;="&amp;$AC13,Dataset!$J:$J,"&lt;"&amp;$AD13,Dataset!$AH:$AH,"bono de gobierno",Dataset!$T:$T,"$")</f>
        <v>0</v>
      </c>
      <c r="J13" s="30">
        <f>SUMIFS(Dataset!$AA:$AA,Dataset!$F:$F,Resumen!I$8,Dataset!$J:$J,"&gt;="&amp;$AC13,Dataset!$J:$J,"&lt;"&amp;$AD13,Dataset!$AH:$AH,"bono de gobierno",Dataset!$T:$T,"$")</f>
        <v>0</v>
      </c>
      <c r="K13" s="29">
        <f>SUMIFS(Dataset!$AJ:$AJ,Dataset!$F:$F,Resumen!K$8,Dataset!$J:$J,"&gt;="&amp;$AC13,Dataset!$J:$J,"&lt;"&amp;$AD13,Dataset!$AH:$AH,"bono de gobierno",Dataset!$T:$T,"$")</f>
        <v>0</v>
      </c>
      <c r="L13" s="30">
        <f>SUMIFS(Dataset!$AA:$AA,Dataset!$F:$F,Resumen!K$8,Dataset!$J:$J,"&gt;="&amp;$AC13,Dataset!$J:$J,"&lt;"&amp;$AD13,Dataset!$AH:$AH,"bono de gobierno",Dataset!$T:$T,"$")</f>
        <v>0</v>
      </c>
      <c r="M13" s="29">
        <f>SUMIFS(Dataset!$AJ:$AJ,Dataset!$F:$F,Resumen!M$8,Dataset!$J:$J,"&gt;="&amp;$AC13,Dataset!$J:$J,"&lt;"&amp;$AD13,Dataset!$AH:$AH,"bono de gobierno",Dataset!$T:$T,"$")</f>
        <v>0</v>
      </c>
      <c r="N13" s="30">
        <f>SUMIFS(Dataset!$AA:$AA,Dataset!$F:$F,Resumen!M$8,Dataset!$J:$J,"&gt;="&amp;$AC13,Dataset!$J:$J,"&lt;"&amp;$AD13,Dataset!$AH:$AH,"bono de gobierno",Dataset!$T:$T,"$")</f>
        <v>0</v>
      </c>
      <c r="O13" s="29">
        <f>SUMIFS(Dataset!$AJ:$AJ,Dataset!$F:$F,Resumen!O$8,Dataset!$J:$J,"&gt;="&amp;$AC13,Dataset!$J:$J,"&lt;"&amp;$AD13,Dataset!$AH:$AH,"bono de gobierno",Dataset!$T:$T,"$")</f>
        <v>0</v>
      </c>
      <c r="P13" s="30">
        <f>SUMIFS(Dataset!$AA:$AA,Dataset!$F:$F,Resumen!O$8,Dataset!$J:$J,"&gt;="&amp;$AC13,Dataset!$J:$J,"&lt;"&amp;$AD13,Dataset!$AH:$AH,"bono de gobierno",Dataset!$T:$T,"$")</f>
        <v>0</v>
      </c>
      <c r="Q13" s="29">
        <f>SUMIFS(Dataset!$AJ:$AJ,Dataset!$F:$F,Resumen!Q$8,Dataset!$J:$J,"&gt;="&amp;$AC13,Dataset!$J:$J,"&lt;"&amp;$AD13,Dataset!$AH:$AH,"bono de gobierno",Dataset!$T:$T,"$")</f>
        <v>0</v>
      </c>
      <c r="R13" s="30">
        <f>SUMIFS(Dataset!$AA:$AA,Dataset!$F:$F,Resumen!Q$8,Dataset!$J:$J,"&gt;="&amp;$AC13,Dataset!$J:$J,"&lt;"&amp;$AD13,Dataset!$AH:$AH,"bono de gobierno",Dataset!$T:$T,"$")</f>
        <v>0</v>
      </c>
      <c r="S13" s="29">
        <f>SUMIFS(Dataset!$AJ:$AJ,Dataset!$F:$F,Resumen!S$8,Dataset!$J:$J,"&gt;="&amp;$AC13,Dataset!$J:$J,"&lt;"&amp;$AD13,Dataset!$AH:$AH,"bono de gobierno",Dataset!$T:$T,"$")</f>
        <v>0</v>
      </c>
      <c r="T13" s="30">
        <f>SUMIFS(Dataset!$AA:$AA,Dataset!$F:$F,Resumen!S$8,Dataset!$J:$J,"&gt;="&amp;$AC13,Dataset!$J:$J,"&lt;"&amp;$AD13,Dataset!$AH:$AH,"bono de gobierno",Dataset!$T:$T,"$")</f>
        <v>0</v>
      </c>
      <c r="U13" s="29">
        <f>SUMIFS(Dataset!$AJ:$AJ,Dataset!$F:$F,Resumen!U$8,Dataset!$J:$J,"&gt;="&amp;$AC13,Dataset!$J:$J,"&lt;"&amp;$AD13,Dataset!$AH:$AH,"bono de gobierno",Dataset!$T:$T,"$")</f>
        <v>0</v>
      </c>
      <c r="V13" s="30">
        <f>SUMIFS(Dataset!$AA:$AA,Dataset!$F:$F,Resumen!U$8,Dataset!$J:$J,"&gt;="&amp;$AC13,Dataset!$J:$J,"&lt;"&amp;$AD13,Dataset!$AH:$AH,"bono de gobierno",Dataset!$T:$T,"$")</f>
        <v>0</v>
      </c>
      <c r="W13" s="29">
        <f>SUMIFS(Dataset!$AJ:$AJ,Dataset!$F:$F,Resumen!W$8,Dataset!$J:$J,"&gt;="&amp;$AC13,Dataset!$J:$J,"&lt;"&amp;$AD13,Dataset!$AH:$AH,"bono de gobierno",Dataset!$T:$T,"$")</f>
        <v>0</v>
      </c>
      <c r="X13" s="30">
        <f>SUMIFS(Dataset!$AA:$AA,Dataset!$F:$F,Resumen!W$8,Dataset!$J:$J,"&gt;="&amp;$AC13,Dataset!$J:$J,"&lt;"&amp;$AD13,Dataset!$AH:$AH,"bono de gobierno",Dataset!$T:$T,"$")</f>
        <v>0</v>
      </c>
      <c r="Y13" s="29">
        <f>SUMIFS(Dataset!$AJ:$AJ,Dataset!$F:$F,Resumen!Y$8,Dataset!$J:$J,"&gt;="&amp;$AC13,Dataset!$J:$J,"&lt;"&amp;$AD13,Dataset!$AH:$AH,"bono de gobierno",Dataset!$T:$T,"$")</f>
        <v>0</v>
      </c>
      <c r="Z13" s="30">
        <f>SUMIFS(Dataset!$AA:$AA,Dataset!$F:$F,Resumen!Y$8,Dataset!$J:$J,"&gt;="&amp;$AC13,Dataset!$J:$J,"&lt;"&amp;$AD13,Dataset!$AH:$AH,"bono de gobierno",Dataset!$T:$T,"$")</f>
        <v>0</v>
      </c>
      <c r="AA13" s="29">
        <f>SUMIFS(Dataset!$AJ:$AJ,Dataset!$F:$F,Resumen!AA$8,Dataset!$J:$J,"&gt;="&amp;$AC13,Dataset!$J:$J,"&lt;"&amp;$AD13,Dataset!$AH:$AH,"bono de gobierno",Dataset!$T:$T,"$")</f>
        <v>0</v>
      </c>
      <c r="AB13" s="30">
        <f>SUMIFS(Dataset!$AA:$AA,Dataset!$F:$F,Resumen!AA$8,Dataset!$J:$J,"&gt;="&amp;$AC13,Dataset!$J:$J,"&lt;"&amp;$AD13,Dataset!$AH:$AH,"bono de gobierno",Dataset!$T:$T,"$")</f>
        <v>0</v>
      </c>
      <c r="AC13" s="22">
        <v>10</v>
      </c>
      <c r="AD13" s="22">
        <v>100</v>
      </c>
    </row>
    <row r="14" spans="2:32" ht="30" customHeight="1" x14ac:dyDescent="0.3">
      <c r="B14" s="159" t="s">
        <v>123</v>
      </c>
      <c r="C14" s="160" t="s">
        <v>119</v>
      </c>
      <c r="D14" s="160"/>
      <c r="E14" s="24">
        <f>SUMIFS(Dataset!$AJ:$AJ,Dataset!$F:$F,Resumen!E$8,Dataset!$J:$J,"&gt;="&amp;$AC14,Dataset!$J:$J,"&lt;"&amp;$AD14,Dataset!$AH:$AH,"bono de gobierno",Dataset!$T:$T,"UF")</f>
        <v>6.2161239306751048E-2</v>
      </c>
      <c r="F14" s="25">
        <f>SUMIFS(Dataset!$AA:$AA,Dataset!$F:$F,Resumen!E$8,Dataset!$J:$J,"&gt;="&amp;$AC14,Dataset!$J:$J,"&lt;"&amp;$AD14,Dataset!$AH:$AH,"bono de gobierno",Dataset!$T:$T,"UF")</f>
        <v>-5.2815480777035552E-2</v>
      </c>
      <c r="G14" s="24">
        <f>SUMIFS(Dataset!$AJ:$AJ,Dataset!$F:$F,Resumen!G$8,Dataset!$J:$J,"&gt;="&amp;$AC14,Dataset!$J:$J,"&lt;"&amp;$AD14,Dataset!$AH:$AH,"bono de gobierno",Dataset!$T:$T,"UF")</f>
        <v>0</v>
      </c>
      <c r="H14" s="25">
        <f>SUMIFS(Dataset!$AA:$AA,Dataset!$F:$F,Resumen!G$8,Dataset!$J:$J,"&gt;="&amp;$AC14,Dataset!$J:$J,"&lt;"&amp;$AD14,Dataset!$AH:$AH,"bono de gobierno",Dataset!$T:$T,"UF")</f>
        <v>0</v>
      </c>
      <c r="I14" s="24">
        <f>SUMIFS(Dataset!$AJ:$AJ,Dataset!$F:$F,Resumen!I$8,Dataset!$J:$J,"&gt;="&amp;$AC14,Dataset!$J:$J,"&lt;"&amp;$AD14,Dataset!$AH:$AH,"bono de gobierno",Dataset!$T:$T,"UF")</f>
        <v>0</v>
      </c>
      <c r="J14" s="25">
        <f>SUMIFS(Dataset!$AA:$AA,Dataset!$F:$F,Resumen!I$8,Dataset!$J:$J,"&gt;="&amp;$AC14,Dataset!$J:$J,"&lt;"&amp;$AD14,Dataset!$AH:$AH,"bono de gobierno",Dataset!$T:$T,"UF")</f>
        <v>0</v>
      </c>
      <c r="K14" s="24">
        <f>SUMIFS(Dataset!$AJ:$AJ,Dataset!$F:$F,Resumen!K$8,Dataset!$J:$J,"&gt;="&amp;$AC14,Dataset!$J:$J,"&lt;"&amp;$AD14,Dataset!$AH:$AH,"bono de gobierno",Dataset!$T:$T,"UF")</f>
        <v>0</v>
      </c>
      <c r="L14" s="25">
        <f>SUMIFS(Dataset!$AA:$AA,Dataset!$F:$F,Resumen!K$8,Dataset!$J:$J,"&gt;="&amp;$AC14,Dataset!$J:$J,"&lt;"&amp;$AD14,Dataset!$AH:$AH,"bono de gobierno",Dataset!$T:$T,"UF")</f>
        <v>0</v>
      </c>
      <c r="M14" s="24">
        <f>SUMIFS(Dataset!$AJ:$AJ,Dataset!$F:$F,Resumen!M$8,Dataset!$J:$J,"&gt;="&amp;$AC14,Dataset!$J:$J,"&lt;"&amp;$AD14,Dataset!$AH:$AH,"bono de gobierno",Dataset!$T:$T,"UF")</f>
        <v>1.7745935478991646E-2</v>
      </c>
      <c r="N14" s="25">
        <f>SUMIFS(Dataset!$AA:$AA,Dataset!$F:$F,Resumen!M$8,Dataset!$J:$J,"&gt;="&amp;$AC14,Dataset!$J:$J,"&lt;"&amp;$AD14,Dataset!$AH:$AH,"bono de gobierno",Dataset!$T:$T,"UF")</f>
        <v>-2.168900661448657E-2</v>
      </c>
      <c r="O14" s="24">
        <f>SUMIFS(Dataset!$AJ:$AJ,Dataset!$F:$F,Resumen!O$8,Dataset!$J:$J,"&gt;="&amp;$AC14,Dataset!$J:$J,"&lt;"&amp;$AD14,Dataset!$AH:$AH,"bono de gobierno",Dataset!$T:$T,"UF")</f>
        <v>0</v>
      </c>
      <c r="P14" s="25">
        <f>SUMIFS(Dataset!$AA:$AA,Dataset!$F:$F,Resumen!O$8,Dataset!$J:$J,"&gt;="&amp;$AC14,Dataset!$J:$J,"&lt;"&amp;$AD14,Dataset!$AH:$AH,"bono de gobierno",Dataset!$T:$T,"UF")</f>
        <v>0</v>
      </c>
      <c r="Q14" s="24">
        <f>SUMIFS(Dataset!$AJ:$AJ,Dataset!$F:$F,Resumen!Q$8,Dataset!$J:$J,"&gt;="&amp;$AC14,Dataset!$J:$J,"&lt;"&amp;$AD14,Dataset!$AH:$AH,"bono de gobierno",Dataset!$T:$T,"UF")</f>
        <v>0</v>
      </c>
      <c r="R14" s="25">
        <f>SUMIFS(Dataset!$AA:$AA,Dataset!$F:$F,Resumen!Q$8,Dataset!$J:$J,"&gt;="&amp;$AC14,Dataset!$J:$J,"&lt;"&amp;$AD14,Dataset!$AH:$AH,"bono de gobierno",Dataset!$T:$T,"UF")</f>
        <v>0</v>
      </c>
      <c r="S14" s="24">
        <f>SUMIFS(Dataset!$AJ:$AJ,Dataset!$F:$F,Resumen!S$8,Dataset!$J:$J,"&gt;="&amp;$AC14,Dataset!$J:$J,"&lt;"&amp;$AD14,Dataset!$AH:$AH,"bono de gobierno",Dataset!$T:$T,"UF")</f>
        <v>0</v>
      </c>
      <c r="T14" s="25">
        <f>SUMIFS(Dataset!$AA:$AA,Dataset!$F:$F,Resumen!S$8,Dataset!$J:$J,"&gt;="&amp;$AC14,Dataset!$J:$J,"&lt;"&amp;$AD14,Dataset!$AH:$AH,"bono de gobierno",Dataset!$T:$T,"UF")</f>
        <v>0</v>
      </c>
      <c r="U14" s="24">
        <f>SUMIFS(Dataset!$AJ:$AJ,Dataset!$F:$F,Resumen!U$8,Dataset!$J:$J,"&gt;="&amp;$AC14,Dataset!$J:$J,"&lt;"&amp;$AD14,Dataset!$AH:$AH,"bono de gobierno",Dataset!$T:$T,"UF")</f>
        <v>0</v>
      </c>
      <c r="V14" s="25">
        <f>SUMIFS(Dataset!$AA:$AA,Dataset!$F:$F,Resumen!U$8,Dataset!$J:$J,"&gt;="&amp;$AC14,Dataset!$J:$J,"&lt;"&amp;$AD14,Dataset!$AH:$AH,"bono de gobierno",Dataset!$T:$T,"UF")</f>
        <v>0</v>
      </c>
      <c r="W14" s="24">
        <f>SUMIFS(Dataset!$AJ:$AJ,Dataset!$F:$F,Resumen!W$8,Dataset!$J:$J,"&gt;="&amp;$AC14,Dataset!$J:$J,"&lt;"&amp;$AD14,Dataset!$AH:$AH,"bono de gobierno",Dataset!$T:$T,"UF")</f>
        <v>0</v>
      </c>
      <c r="X14" s="25">
        <f>SUMIFS(Dataset!$AA:$AA,Dataset!$F:$F,Resumen!W$8,Dataset!$J:$J,"&gt;="&amp;$AC14,Dataset!$J:$J,"&lt;"&amp;$AD14,Dataset!$AH:$AH,"bono de gobierno",Dataset!$T:$T,"UF")</f>
        <v>0</v>
      </c>
      <c r="Y14" s="24">
        <f>SUMIFS(Dataset!$AJ:$AJ,Dataset!$F:$F,Resumen!Y$8,Dataset!$J:$J,"&gt;="&amp;$AC14,Dataset!$J:$J,"&lt;"&amp;$AD14,Dataset!$AH:$AH,"bono de gobierno",Dataset!$T:$T,"UF")</f>
        <v>0</v>
      </c>
      <c r="Z14" s="25">
        <f>SUMIFS(Dataset!$AA:$AA,Dataset!$F:$F,Resumen!Y$8,Dataset!$J:$J,"&gt;="&amp;$AC14,Dataset!$J:$J,"&lt;"&amp;$AD14,Dataset!$AH:$AH,"bono de gobierno",Dataset!$T:$T,"UF")</f>
        <v>0</v>
      </c>
      <c r="AA14" s="24">
        <f>SUMIFS(Dataset!$AJ:$AJ,Dataset!$F:$F,Resumen!AA$8,Dataset!$J:$J,"&gt;="&amp;$AC14,Dataset!$J:$J,"&lt;"&amp;$AD14,Dataset!$AH:$AH,"bono de gobierno",Dataset!$T:$T,"UF")</f>
        <v>0</v>
      </c>
      <c r="AB14" s="25">
        <f>SUMIFS(Dataset!$AA:$AA,Dataset!$F:$F,Resumen!AA$8,Dataset!$J:$J,"&gt;="&amp;$AC14,Dataset!$J:$J,"&lt;"&amp;$AD14,Dataset!$AH:$AH,"bono de gobierno",Dataset!$T:$T,"UF")</f>
        <v>0</v>
      </c>
      <c r="AC14" s="22">
        <v>0</v>
      </c>
      <c r="AD14" s="22">
        <v>3</v>
      </c>
    </row>
    <row r="15" spans="2:32" ht="30" customHeight="1" x14ac:dyDescent="0.3">
      <c r="B15" s="159"/>
      <c r="C15" s="160" t="s">
        <v>120</v>
      </c>
      <c r="D15" s="160"/>
      <c r="E15" s="27">
        <f>SUMIFS(Dataset!$AJ:$AJ,Dataset!$F:$F,Resumen!E$8,Dataset!$J:$J,"&gt;="&amp;$AC15,Dataset!$J:$J,"&lt;"&amp;$AD15,Dataset!$AH:$AH,"bono de gobierno",Dataset!$T:$T,"UF")</f>
        <v>0</v>
      </c>
      <c r="F15" s="28">
        <f>SUMIFS(Dataset!$AA:$AA,Dataset!$F:$F,Resumen!E$8,Dataset!$J:$J,"&gt;="&amp;$AC15,Dataset!$J:$J,"&lt;"&amp;$AD15,Dataset!$AH:$AH,"bono de gobierno",Dataset!$T:$T,"UF")</f>
        <v>0</v>
      </c>
      <c r="G15" s="27">
        <f>SUMIFS(Dataset!$AJ:$AJ,Dataset!$F:$F,Resumen!G$8,Dataset!$J:$J,"&gt;="&amp;$AC15,Dataset!$J:$J,"&lt;"&amp;$AD15,Dataset!$AH:$AH,"bono de gobierno",Dataset!$T:$T,"UF")</f>
        <v>0</v>
      </c>
      <c r="H15" s="28">
        <f>SUMIFS(Dataset!$AA:$AA,Dataset!$F:$F,Resumen!G$8,Dataset!$J:$J,"&gt;="&amp;$AC15,Dataset!$J:$J,"&lt;"&amp;$AD15,Dataset!$AH:$AH,"bono de gobierno",Dataset!$T:$T,"UF")</f>
        <v>0</v>
      </c>
      <c r="I15" s="27">
        <f>SUMIFS(Dataset!$AJ:$AJ,Dataset!$F:$F,Resumen!I$8,Dataset!$J:$J,"&gt;="&amp;$AC15,Dataset!$J:$J,"&lt;"&amp;$AD15,Dataset!$AH:$AH,"bono de gobierno",Dataset!$T:$T,"UF")</f>
        <v>0</v>
      </c>
      <c r="J15" s="28">
        <f>SUMIFS(Dataset!$AA:$AA,Dataset!$F:$F,Resumen!I$8,Dataset!$J:$J,"&gt;="&amp;$AC15,Dataset!$J:$J,"&lt;"&amp;$AD15,Dataset!$AH:$AH,"bono de gobierno",Dataset!$T:$T,"UF")</f>
        <v>0</v>
      </c>
      <c r="K15" s="27">
        <f>SUMIFS(Dataset!$AJ:$AJ,Dataset!$F:$F,Resumen!K$8,Dataset!$J:$J,"&gt;="&amp;$AC15,Dataset!$J:$J,"&lt;"&amp;$AD15,Dataset!$AH:$AH,"bono de gobierno",Dataset!$T:$T,"UF")</f>
        <v>0</v>
      </c>
      <c r="L15" s="28">
        <f>SUMIFS(Dataset!$AA:$AA,Dataset!$F:$F,Resumen!K$8,Dataset!$J:$J,"&gt;="&amp;$AC15,Dataset!$J:$J,"&lt;"&amp;$AD15,Dataset!$AH:$AH,"bono de gobierno",Dataset!$T:$T,"UF")</f>
        <v>0</v>
      </c>
      <c r="M15" s="27">
        <f>SUMIFS(Dataset!$AJ:$AJ,Dataset!$F:$F,Resumen!M$8,Dataset!$J:$J,"&gt;="&amp;$AC15,Dataset!$J:$J,"&lt;"&amp;$AD15,Dataset!$AH:$AH,"bono de gobierno",Dataset!$T:$T,"UF")</f>
        <v>0</v>
      </c>
      <c r="N15" s="28">
        <f>SUMIFS(Dataset!$AA:$AA,Dataset!$F:$F,Resumen!M$8,Dataset!$J:$J,"&gt;="&amp;$AC15,Dataset!$J:$J,"&lt;"&amp;$AD15,Dataset!$AH:$AH,"bono de gobierno",Dataset!$T:$T,"UF")</f>
        <v>0</v>
      </c>
      <c r="O15" s="27">
        <f>SUMIFS(Dataset!$AJ:$AJ,Dataset!$F:$F,Resumen!O$8,Dataset!$J:$J,"&gt;="&amp;$AC15,Dataset!$J:$J,"&lt;"&amp;$AD15,Dataset!$AH:$AH,"bono de gobierno",Dataset!$T:$T,"UF")</f>
        <v>0</v>
      </c>
      <c r="P15" s="28">
        <f>SUMIFS(Dataset!$AA:$AA,Dataset!$F:$F,Resumen!O$8,Dataset!$J:$J,"&gt;="&amp;$AC15,Dataset!$J:$J,"&lt;"&amp;$AD15,Dataset!$AH:$AH,"bono de gobierno",Dataset!$T:$T,"UF")</f>
        <v>0</v>
      </c>
      <c r="Q15" s="27">
        <f>SUMIFS(Dataset!$AJ:$AJ,Dataset!$F:$F,Resumen!Q$8,Dataset!$J:$J,"&gt;="&amp;$AC15,Dataset!$J:$J,"&lt;"&amp;$AD15,Dataset!$AH:$AH,"bono de gobierno",Dataset!$T:$T,"UF")</f>
        <v>0</v>
      </c>
      <c r="R15" s="28">
        <f>SUMIFS(Dataset!$AA:$AA,Dataset!$F:$F,Resumen!Q$8,Dataset!$J:$J,"&gt;="&amp;$AC15,Dataset!$J:$J,"&lt;"&amp;$AD15,Dataset!$AH:$AH,"bono de gobierno",Dataset!$T:$T,"UF")</f>
        <v>0</v>
      </c>
      <c r="S15" s="27">
        <f>SUMIFS(Dataset!$AJ:$AJ,Dataset!$F:$F,Resumen!S$8,Dataset!$J:$J,"&gt;="&amp;$AC15,Dataset!$J:$J,"&lt;"&amp;$AD15,Dataset!$AH:$AH,"bono de gobierno",Dataset!$T:$T,"UF")</f>
        <v>0</v>
      </c>
      <c r="T15" s="28">
        <f>SUMIFS(Dataset!$AA:$AA,Dataset!$F:$F,Resumen!S$8,Dataset!$J:$J,"&gt;="&amp;$AC15,Dataset!$J:$J,"&lt;"&amp;$AD15,Dataset!$AH:$AH,"bono de gobierno",Dataset!$T:$T,"UF")</f>
        <v>0</v>
      </c>
      <c r="U15" s="27">
        <f>SUMIFS(Dataset!$AJ:$AJ,Dataset!$F:$F,Resumen!U$8,Dataset!$J:$J,"&gt;="&amp;$AC15,Dataset!$J:$J,"&lt;"&amp;$AD15,Dataset!$AH:$AH,"bono de gobierno",Dataset!$T:$T,"UF")</f>
        <v>0</v>
      </c>
      <c r="V15" s="28">
        <f>SUMIFS(Dataset!$AA:$AA,Dataset!$F:$F,Resumen!U$8,Dataset!$J:$J,"&gt;="&amp;$AC15,Dataset!$J:$J,"&lt;"&amp;$AD15,Dataset!$AH:$AH,"bono de gobierno",Dataset!$T:$T,"UF")</f>
        <v>0</v>
      </c>
      <c r="W15" s="27">
        <f>SUMIFS(Dataset!$AJ:$AJ,Dataset!$F:$F,Resumen!W$8,Dataset!$J:$J,"&gt;="&amp;$AC15,Dataset!$J:$J,"&lt;"&amp;$AD15,Dataset!$AH:$AH,"bono de gobierno",Dataset!$T:$T,"UF")</f>
        <v>0</v>
      </c>
      <c r="X15" s="28">
        <f>SUMIFS(Dataset!$AA:$AA,Dataset!$F:$F,Resumen!W$8,Dataset!$J:$J,"&gt;="&amp;$AC15,Dataset!$J:$J,"&lt;"&amp;$AD15,Dataset!$AH:$AH,"bono de gobierno",Dataset!$T:$T,"UF")</f>
        <v>0</v>
      </c>
      <c r="Y15" s="27">
        <f>SUMIFS(Dataset!$AJ:$AJ,Dataset!$F:$F,Resumen!Y$8,Dataset!$J:$J,"&gt;="&amp;$AC15,Dataset!$J:$J,"&lt;"&amp;$AD15,Dataset!$AH:$AH,"bono de gobierno",Dataset!$T:$T,"UF")</f>
        <v>0</v>
      </c>
      <c r="Z15" s="28">
        <f>SUMIFS(Dataset!$AA:$AA,Dataset!$F:$F,Resumen!Y$8,Dataset!$J:$J,"&gt;="&amp;$AC15,Dataset!$J:$J,"&lt;"&amp;$AD15,Dataset!$AH:$AH,"bono de gobierno",Dataset!$T:$T,"UF")</f>
        <v>0</v>
      </c>
      <c r="AA15" s="27">
        <f>SUMIFS(Dataset!$AJ:$AJ,Dataset!$F:$F,Resumen!AA$8,Dataset!$J:$J,"&gt;="&amp;$AC15,Dataset!$J:$J,"&lt;"&amp;$AD15,Dataset!$AH:$AH,"bono de gobierno",Dataset!$T:$T,"UF")</f>
        <v>0</v>
      </c>
      <c r="AB15" s="28">
        <f>SUMIFS(Dataset!$AA:$AA,Dataset!$F:$F,Resumen!AA$8,Dataset!$J:$J,"&gt;="&amp;$AC15,Dataset!$J:$J,"&lt;"&amp;$AD15,Dataset!$AH:$AH,"bono de gobierno",Dataset!$T:$T,"UF")</f>
        <v>0</v>
      </c>
      <c r="AC15" s="22">
        <v>3</v>
      </c>
      <c r="AD15" s="22">
        <v>5</v>
      </c>
    </row>
    <row r="16" spans="2:32" ht="30" customHeight="1" x14ac:dyDescent="0.3">
      <c r="B16" s="159"/>
      <c r="C16" s="160" t="s">
        <v>121</v>
      </c>
      <c r="D16" s="160"/>
      <c r="E16" s="27">
        <f>SUMIFS(Dataset!$AJ:$AJ,Dataset!$F:$F,Resumen!E$8,Dataset!$J:$J,"&gt;="&amp;$AC16,Dataset!$J:$J,"&lt;"&amp;$AD16,Dataset!$AH:$AH,"bono de gobierno",Dataset!$T:$T,"UF")</f>
        <v>1.6970581610826475E-2</v>
      </c>
      <c r="F16" s="28">
        <f>SUMIFS(Dataset!$AA:$AA,Dataset!$F:$F,Resumen!E$8,Dataset!$J:$J,"&gt;="&amp;$AC16,Dataset!$J:$J,"&lt;"&amp;$AD16,Dataset!$AH:$AH,"bono de gobierno",Dataset!$T:$T,"UF")</f>
        <v>2.1021534687384619E-2</v>
      </c>
      <c r="G16" s="27">
        <f>SUMIFS(Dataset!$AJ:$AJ,Dataset!$F:$F,Resumen!G$8,Dataset!$J:$J,"&gt;="&amp;$AC16,Dataset!$J:$J,"&lt;"&amp;$AD16,Dataset!$AH:$AH,"bono de gobierno",Dataset!$T:$T,"UF")</f>
        <v>0</v>
      </c>
      <c r="H16" s="28">
        <f>SUMIFS(Dataset!$AA:$AA,Dataset!$F:$F,Resumen!G$8,Dataset!$J:$J,"&gt;="&amp;$AC16,Dataset!$J:$J,"&lt;"&amp;$AD16,Dataset!$AH:$AH,"bono de gobierno",Dataset!$T:$T,"UF")</f>
        <v>0</v>
      </c>
      <c r="I16" s="27">
        <f>SUMIFS(Dataset!$AJ:$AJ,Dataset!$F:$F,Resumen!I$8,Dataset!$J:$J,"&gt;="&amp;$AC16,Dataset!$J:$J,"&lt;"&amp;$AD16,Dataset!$AH:$AH,"bono de gobierno",Dataset!$T:$T,"UF")</f>
        <v>0</v>
      </c>
      <c r="J16" s="28">
        <f>SUMIFS(Dataset!$AA:$AA,Dataset!$F:$F,Resumen!I$8,Dataset!$J:$J,"&gt;="&amp;$AC16,Dataset!$J:$J,"&lt;"&amp;$AD16,Dataset!$AH:$AH,"bono de gobierno",Dataset!$T:$T,"UF")</f>
        <v>0</v>
      </c>
      <c r="K16" s="27">
        <f>SUMIFS(Dataset!$AJ:$AJ,Dataset!$F:$F,Resumen!K$8,Dataset!$J:$J,"&gt;="&amp;$AC16,Dataset!$J:$J,"&lt;"&amp;$AD16,Dataset!$AH:$AH,"bono de gobierno",Dataset!$T:$T,"UF")</f>
        <v>0</v>
      </c>
      <c r="L16" s="28">
        <f>SUMIFS(Dataset!$AA:$AA,Dataset!$F:$F,Resumen!K$8,Dataset!$J:$J,"&gt;="&amp;$AC16,Dataset!$J:$J,"&lt;"&amp;$AD16,Dataset!$AH:$AH,"bono de gobierno",Dataset!$T:$T,"UF")</f>
        <v>0</v>
      </c>
      <c r="M16" s="27">
        <f>SUMIFS(Dataset!$AJ:$AJ,Dataset!$F:$F,Resumen!M$8,Dataset!$J:$J,"&gt;="&amp;$AC16,Dataset!$J:$J,"&lt;"&amp;$AD16,Dataset!$AH:$AH,"bono de gobierno",Dataset!$T:$T,"UF")</f>
        <v>6.8975333591311987E-3</v>
      </c>
      <c r="N16" s="28">
        <f>SUMIFS(Dataset!$AA:$AA,Dataset!$F:$F,Resumen!M$8,Dataset!$J:$J,"&gt;="&amp;$AC16,Dataset!$J:$J,"&lt;"&amp;$AD16,Dataset!$AH:$AH,"bono de gobierno",Dataset!$T:$T,"UF")</f>
        <v>-2.6272316042370617E-3</v>
      </c>
      <c r="O16" s="27">
        <f>SUMIFS(Dataset!$AJ:$AJ,Dataset!$F:$F,Resumen!O$8,Dataset!$J:$J,"&gt;="&amp;$AC16,Dataset!$J:$J,"&lt;"&amp;$AD16,Dataset!$AH:$AH,"bono de gobierno",Dataset!$T:$T,"UF")</f>
        <v>0</v>
      </c>
      <c r="P16" s="28">
        <f>SUMIFS(Dataset!$AA:$AA,Dataset!$F:$F,Resumen!O$8,Dataset!$J:$J,"&gt;="&amp;$AC16,Dataset!$J:$J,"&lt;"&amp;$AD16,Dataset!$AH:$AH,"bono de gobierno",Dataset!$T:$T,"UF")</f>
        <v>0</v>
      </c>
      <c r="Q16" s="27">
        <f>SUMIFS(Dataset!$AJ:$AJ,Dataset!$F:$F,Resumen!Q$8,Dataset!$J:$J,"&gt;="&amp;$AC16,Dataset!$J:$J,"&lt;"&amp;$AD16,Dataset!$AH:$AH,"bono de gobierno",Dataset!$T:$T,"UF")</f>
        <v>0</v>
      </c>
      <c r="R16" s="28">
        <f>SUMIFS(Dataset!$AA:$AA,Dataset!$F:$F,Resumen!Q$8,Dataset!$J:$J,"&gt;="&amp;$AC16,Dataset!$J:$J,"&lt;"&amp;$AD16,Dataset!$AH:$AH,"bono de gobierno",Dataset!$T:$T,"UF")</f>
        <v>0</v>
      </c>
      <c r="S16" s="27">
        <f>SUMIFS(Dataset!$AJ:$AJ,Dataset!$F:$F,Resumen!S$8,Dataset!$J:$J,"&gt;="&amp;$AC16,Dataset!$J:$J,"&lt;"&amp;$AD16,Dataset!$AH:$AH,"bono de gobierno",Dataset!$T:$T,"UF")</f>
        <v>0</v>
      </c>
      <c r="T16" s="28">
        <f>SUMIFS(Dataset!$AA:$AA,Dataset!$F:$F,Resumen!S$8,Dataset!$J:$J,"&gt;="&amp;$AC16,Dataset!$J:$J,"&lt;"&amp;$AD16,Dataset!$AH:$AH,"bono de gobierno",Dataset!$T:$T,"UF")</f>
        <v>0</v>
      </c>
      <c r="U16" s="27">
        <f>SUMIFS(Dataset!$AJ:$AJ,Dataset!$F:$F,Resumen!U$8,Dataset!$J:$J,"&gt;="&amp;$AC16,Dataset!$J:$J,"&lt;"&amp;$AD16,Dataset!$AH:$AH,"bono de gobierno",Dataset!$T:$T,"UF")</f>
        <v>0</v>
      </c>
      <c r="V16" s="28">
        <f>SUMIFS(Dataset!$AA:$AA,Dataset!$F:$F,Resumen!U$8,Dataset!$J:$J,"&gt;="&amp;$AC16,Dataset!$J:$J,"&lt;"&amp;$AD16,Dataset!$AH:$AH,"bono de gobierno",Dataset!$T:$T,"UF")</f>
        <v>0</v>
      </c>
      <c r="W16" s="27">
        <f>SUMIFS(Dataset!$AJ:$AJ,Dataset!$F:$F,Resumen!W$8,Dataset!$J:$J,"&gt;="&amp;$AC16,Dataset!$J:$J,"&lt;"&amp;$AD16,Dataset!$AH:$AH,"bono de gobierno",Dataset!$T:$T,"UF")</f>
        <v>0</v>
      </c>
      <c r="X16" s="28">
        <f>SUMIFS(Dataset!$AA:$AA,Dataset!$F:$F,Resumen!W$8,Dataset!$J:$J,"&gt;="&amp;$AC16,Dataset!$J:$J,"&lt;"&amp;$AD16,Dataset!$AH:$AH,"bono de gobierno",Dataset!$T:$T,"UF")</f>
        <v>0</v>
      </c>
      <c r="Y16" s="27">
        <f>SUMIFS(Dataset!$AJ:$AJ,Dataset!$F:$F,Resumen!Y$8,Dataset!$J:$J,"&gt;="&amp;$AC16,Dataset!$J:$J,"&lt;"&amp;$AD16,Dataset!$AH:$AH,"bono de gobierno",Dataset!$T:$T,"UF")</f>
        <v>0</v>
      </c>
      <c r="Z16" s="28">
        <f>SUMIFS(Dataset!$AA:$AA,Dataset!$F:$F,Resumen!Y$8,Dataset!$J:$J,"&gt;="&amp;$AC16,Dataset!$J:$J,"&lt;"&amp;$AD16,Dataset!$AH:$AH,"bono de gobierno",Dataset!$T:$T,"UF")</f>
        <v>0</v>
      </c>
      <c r="AA16" s="27">
        <f>SUMIFS(Dataset!$AJ:$AJ,Dataset!$F:$F,Resumen!AA$8,Dataset!$J:$J,"&gt;="&amp;$AC16,Dataset!$J:$J,"&lt;"&amp;$AD16,Dataset!$AH:$AH,"bono de gobierno",Dataset!$T:$T,"UF")</f>
        <v>0</v>
      </c>
      <c r="AB16" s="28">
        <f>SUMIFS(Dataset!$AA:$AA,Dataset!$F:$F,Resumen!AA$8,Dataset!$J:$J,"&gt;="&amp;$AC16,Dataset!$J:$J,"&lt;"&amp;$AD16,Dataset!$AH:$AH,"bono de gobierno",Dataset!$T:$T,"UF")</f>
        <v>0</v>
      </c>
      <c r="AC16" s="22">
        <v>5</v>
      </c>
      <c r="AD16" s="22">
        <v>10</v>
      </c>
    </row>
    <row r="17" spans="2:34" ht="30" customHeight="1" x14ac:dyDescent="0.3">
      <c r="B17" s="159"/>
      <c r="C17" s="160" t="s">
        <v>122</v>
      </c>
      <c r="D17" s="160"/>
      <c r="E17" s="29">
        <f>SUMIFS(Dataset!$AJ:$AJ,Dataset!$F:$F,Resumen!E$8,Dataset!$J:$J,"&gt;="&amp;$AC17,Dataset!$J:$J,"&lt;"&amp;$AD17,Dataset!$AH:$AH,"bono de gobierno",Dataset!$T:$T,"UF")</f>
        <v>0</v>
      </c>
      <c r="F17" s="30">
        <f>SUMIFS(Dataset!$AA:$AA,Dataset!$F:$F,Resumen!E$8,Dataset!$J:$J,"&gt;="&amp;$AC17,Dataset!$J:$J,"&lt;"&amp;$AD17,Dataset!$AH:$AH,"bono de gobierno",Dataset!$T:$T,"UF")</f>
        <v>0</v>
      </c>
      <c r="G17" s="29">
        <f>SUMIFS(Dataset!$AJ:$AJ,Dataset!$F:$F,Resumen!G$8,Dataset!$J:$J,"&gt;="&amp;$AC17,Dataset!$J:$J,"&lt;"&amp;$AD17,Dataset!$AH:$AH,"bono de gobierno",Dataset!$T:$T,"UF")</f>
        <v>0</v>
      </c>
      <c r="H17" s="30">
        <f>SUMIFS(Dataset!$AA:$AA,Dataset!$F:$F,Resumen!G$8,Dataset!$J:$J,"&gt;="&amp;$AC17,Dataset!$J:$J,"&lt;"&amp;$AD17,Dataset!$AH:$AH,"bono de gobierno",Dataset!$T:$T,"UF")</f>
        <v>0</v>
      </c>
      <c r="I17" s="29">
        <f>SUMIFS(Dataset!$AJ:$AJ,Dataset!$F:$F,Resumen!I$8,Dataset!$J:$J,"&gt;="&amp;$AC17,Dataset!$J:$J,"&lt;"&amp;$AD17,Dataset!$AH:$AH,"bono de gobierno",Dataset!$T:$T,"UF")</f>
        <v>0</v>
      </c>
      <c r="J17" s="30">
        <f>SUMIFS(Dataset!$AA:$AA,Dataset!$F:$F,Resumen!I$8,Dataset!$J:$J,"&gt;="&amp;$AC17,Dataset!$J:$J,"&lt;"&amp;$AD17,Dataset!$AH:$AH,"bono de gobierno",Dataset!$T:$T,"UF")</f>
        <v>0</v>
      </c>
      <c r="K17" s="29">
        <f>SUMIFS(Dataset!$AJ:$AJ,Dataset!$F:$F,Resumen!K$8,Dataset!$J:$J,"&gt;="&amp;$AC17,Dataset!$J:$J,"&lt;"&amp;$AD17,Dataset!$AH:$AH,"bono de gobierno",Dataset!$T:$T,"UF")</f>
        <v>0</v>
      </c>
      <c r="L17" s="30">
        <f>SUMIFS(Dataset!$AA:$AA,Dataset!$F:$F,Resumen!K$8,Dataset!$J:$J,"&gt;="&amp;$AC17,Dataset!$J:$J,"&lt;"&amp;$AD17,Dataset!$AH:$AH,"bono de gobierno",Dataset!$T:$T,"UF")</f>
        <v>0</v>
      </c>
      <c r="M17" s="29">
        <f>SUMIFS(Dataset!$AJ:$AJ,Dataset!$F:$F,Resumen!M$8,Dataset!$J:$J,"&gt;="&amp;$AC17,Dataset!$J:$J,"&lt;"&amp;$AD17,Dataset!$AH:$AH,"bono de gobierno",Dataset!$T:$T,"UF")</f>
        <v>0</v>
      </c>
      <c r="N17" s="30">
        <f>SUMIFS(Dataset!$AA:$AA,Dataset!$F:$F,Resumen!M$8,Dataset!$J:$J,"&gt;="&amp;$AC17,Dataset!$J:$J,"&lt;"&amp;$AD17,Dataset!$AH:$AH,"bono de gobierno",Dataset!$T:$T,"UF")</f>
        <v>0</v>
      </c>
      <c r="O17" s="29">
        <f>SUMIFS(Dataset!$AJ:$AJ,Dataset!$F:$F,Resumen!O$8,Dataset!$J:$J,"&gt;="&amp;$AC17,Dataset!$J:$J,"&lt;"&amp;$AD17,Dataset!$AH:$AH,"bono de gobierno",Dataset!$T:$T,"UF")</f>
        <v>0</v>
      </c>
      <c r="P17" s="30">
        <f>SUMIFS(Dataset!$AA:$AA,Dataset!$F:$F,Resumen!O$8,Dataset!$J:$J,"&gt;="&amp;$AC17,Dataset!$J:$J,"&lt;"&amp;$AD17,Dataset!$AH:$AH,"bono de gobierno",Dataset!$T:$T,"UF")</f>
        <v>0</v>
      </c>
      <c r="Q17" s="29">
        <f>SUMIFS(Dataset!$AJ:$AJ,Dataset!$F:$F,Resumen!Q$8,Dataset!$J:$J,"&gt;="&amp;$AC17,Dataset!$J:$J,"&lt;"&amp;$AD17,Dataset!$AH:$AH,"bono de gobierno",Dataset!$T:$T,"UF")</f>
        <v>0</v>
      </c>
      <c r="R17" s="30">
        <f>SUMIFS(Dataset!$AA:$AA,Dataset!$F:$F,Resumen!Q$8,Dataset!$J:$J,"&gt;="&amp;$AC17,Dataset!$J:$J,"&lt;"&amp;$AD17,Dataset!$AH:$AH,"bono de gobierno",Dataset!$T:$T,"UF")</f>
        <v>0</v>
      </c>
      <c r="S17" s="29">
        <f>SUMIFS(Dataset!$AJ:$AJ,Dataset!$F:$F,Resumen!S$8,Dataset!$J:$J,"&gt;="&amp;$AC17,Dataset!$J:$J,"&lt;"&amp;$AD17,Dataset!$AH:$AH,"bono de gobierno",Dataset!$T:$T,"UF")</f>
        <v>0</v>
      </c>
      <c r="T17" s="30">
        <f>SUMIFS(Dataset!$AA:$AA,Dataset!$F:$F,Resumen!S$8,Dataset!$J:$J,"&gt;="&amp;$AC17,Dataset!$J:$J,"&lt;"&amp;$AD17,Dataset!$AH:$AH,"bono de gobierno",Dataset!$T:$T,"UF")</f>
        <v>0</v>
      </c>
      <c r="U17" s="29">
        <f>SUMIFS(Dataset!$AJ:$AJ,Dataset!$F:$F,Resumen!U$8,Dataset!$J:$J,"&gt;="&amp;$AC17,Dataset!$J:$J,"&lt;"&amp;$AD17,Dataset!$AH:$AH,"bono de gobierno",Dataset!$T:$T,"UF")</f>
        <v>0</v>
      </c>
      <c r="V17" s="30">
        <f>SUMIFS(Dataset!$AA:$AA,Dataset!$F:$F,Resumen!U$8,Dataset!$J:$J,"&gt;="&amp;$AC17,Dataset!$J:$J,"&lt;"&amp;$AD17,Dataset!$AH:$AH,"bono de gobierno",Dataset!$T:$T,"UF")</f>
        <v>0</v>
      </c>
      <c r="W17" s="29">
        <f>SUMIFS(Dataset!$AJ:$AJ,Dataset!$F:$F,Resumen!W$8,Dataset!$J:$J,"&gt;="&amp;$AC17,Dataset!$J:$J,"&lt;"&amp;$AD17,Dataset!$AH:$AH,"bono de gobierno",Dataset!$T:$T,"UF")</f>
        <v>0</v>
      </c>
      <c r="X17" s="30">
        <f>SUMIFS(Dataset!$AA:$AA,Dataset!$F:$F,Resumen!W$8,Dataset!$J:$J,"&gt;="&amp;$AC17,Dataset!$J:$J,"&lt;"&amp;$AD17,Dataset!$AH:$AH,"bono de gobierno",Dataset!$T:$T,"UF")</f>
        <v>0</v>
      </c>
      <c r="Y17" s="29">
        <f>SUMIFS(Dataset!$AJ:$AJ,Dataset!$F:$F,Resumen!Y$8,Dataset!$J:$J,"&gt;="&amp;$AC17,Dataset!$J:$J,"&lt;"&amp;$AD17,Dataset!$AH:$AH,"bono de gobierno",Dataset!$T:$T,"UF")</f>
        <v>0</v>
      </c>
      <c r="Z17" s="30">
        <f>SUMIFS(Dataset!$AA:$AA,Dataset!$F:$F,Resumen!Y$8,Dataset!$J:$J,"&gt;="&amp;$AC17,Dataset!$J:$J,"&lt;"&amp;$AD17,Dataset!$AH:$AH,"bono de gobierno",Dataset!$T:$T,"UF")</f>
        <v>0</v>
      </c>
      <c r="AA17" s="29">
        <f>SUMIFS(Dataset!$AJ:$AJ,Dataset!$F:$F,Resumen!AA$8,Dataset!$J:$J,"&gt;="&amp;$AC17,Dataset!$J:$J,"&lt;"&amp;$AD17,Dataset!$AH:$AH,"bono de gobierno",Dataset!$T:$T,"UF")</f>
        <v>0</v>
      </c>
      <c r="AB17" s="30">
        <f>SUMIFS(Dataset!$AA:$AA,Dataset!$F:$F,Resumen!AA$8,Dataset!$J:$J,"&gt;="&amp;$AC17,Dataset!$J:$J,"&lt;"&amp;$AD17,Dataset!$AH:$AH,"bono de gobierno",Dataset!$T:$T,"UF")</f>
        <v>0</v>
      </c>
      <c r="AC17" s="22">
        <v>10</v>
      </c>
      <c r="AD17" s="22">
        <v>100</v>
      </c>
    </row>
    <row r="18" spans="2:34" ht="30" customHeight="1" x14ac:dyDescent="0.3">
      <c r="B18" s="159" t="s">
        <v>124</v>
      </c>
      <c r="C18" s="160" t="s">
        <v>119</v>
      </c>
      <c r="D18" s="160"/>
      <c r="E18" s="24">
        <f>SUMIFS(Dataset!$AJ:$AJ,Dataset!$F:$F,Resumen!E$8,Dataset!$J:$J,"&gt;="&amp;$AC18,Dataset!$J:$J,"&lt;"&amp;$AD18,Dataset!$AH:$AH,"bono de gobierno",Dataset!$T:$T,"&lt;&gt;$",Dataset!$T:$T,"&lt;&gt;UF")</f>
        <v>0</v>
      </c>
      <c r="F18" s="25">
        <f>SUMIFS(Dataset!$AA:$AA,Dataset!$F:$F,Resumen!E$8,Dataset!$J:$J,"&gt;="&amp;$AC18,Dataset!$J:$J,"&lt;"&amp;$AD18,Dataset!$AH:$AH,"bono de gobierno",Dataset!$T:$T,"&lt;&gt;$",Dataset!$T:$T,"&lt;&gt;UF")</f>
        <v>0</v>
      </c>
      <c r="G18" s="24">
        <f>SUMIFS(Dataset!$AJ:$AJ,Dataset!$F:$F,Resumen!G$8,Dataset!$J:$J,"&gt;="&amp;$AC18,Dataset!$J:$J,"&lt;"&amp;$AD18,Dataset!$AH:$AH,"bono de gobierno",Dataset!$T:$T,"&lt;&gt;$",Dataset!$T:$T,"&lt;&gt;UF")</f>
        <v>0</v>
      </c>
      <c r="H18" s="25">
        <f>SUMIFS(Dataset!$AA:$AA,Dataset!$F:$F,Resumen!G$8,Dataset!$J:$J,"&gt;="&amp;$AC18,Dataset!$J:$J,"&lt;"&amp;$AD18,Dataset!$AH:$AH,"bono de gobierno",Dataset!$T:$T,"&lt;&gt;$",Dataset!$T:$T,"&lt;&gt;UF")</f>
        <v>0</v>
      </c>
      <c r="I18" s="24">
        <f>SUMIFS(Dataset!$AJ:$AJ,Dataset!$F:$F,Resumen!I$8,Dataset!$J:$J,"&gt;="&amp;$AC18,Dataset!$J:$J,"&lt;"&amp;$AD18,Dataset!$AH:$AH,"bono de gobierno",Dataset!$T:$T,"&lt;&gt;$",Dataset!$T:$T,"&lt;&gt;UF")</f>
        <v>0</v>
      </c>
      <c r="J18" s="25">
        <f>SUMIFS(Dataset!$AA:$AA,Dataset!$F:$F,Resumen!I$8,Dataset!$J:$J,"&gt;="&amp;$AC18,Dataset!$J:$J,"&lt;"&amp;$AD18,Dataset!$AH:$AH,"bono de gobierno",Dataset!$T:$T,"&lt;&gt;$",Dataset!$T:$T,"&lt;&gt;UF")</f>
        <v>0</v>
      </c>
      <c r="K18" s="24">
        <f>SUMIFS(Dataset!$AJ:$AJ,Dataset!$F:$F,Resumen!K$8,Dataset!$J:$J,"&gt;="&amp;$AC18,Dataset!$J:$J,"&lt;"&amp;$AD18,Dataset!$AH:$AH,"bono de gobierno",Dataset!$T:$T,"&lt;&gt;$",Dataset!$T:$T,"&lt;&gt;UF")</f>
        <v>0</v>
      </c>
      <c r="L18" s="25">
        <f>SUMIFS(Dataset!$AA:$AA,Dataset!$F:$F,Resumen!K$8,Dataset!$J:$J,"&gt;="&amp;$AC18,Dataset!$J:$J,"&lt;"&amp;$AD18,Dataset!$AH:$AH,"bono de gobierno",Dataset!$T:$T,"&lt;&gt;$",Dataset!$T:$T,"&lt;&gt;UF")</f>
        <v>0</v>
      </c>
      <c r="M18" s="24">
        <f>SUMIFS(Dataset!$AJ:$AJ,Dataset!$F:$F,Resumen!M$8,Dataset!$J:$J,"&gt;="&amp;$AC18,Dataset!$J:$J,"&lt;"&amp;$AD18,Dataset!$AH:$AH,"bono de gobierno",Dataset!$T:$T,"&lt;&gt;$",Dataset!$T:$T,"&lt;&gt;UF")</f>
        <v>0</v>
      </c>
      <c r="N18" s="25">
        <f>SUMIFS(Dataset!$AA:$AA,Dataset!$F:$F,Resumen!M$8,Dataset!$J:$J,"&gt;="&amp;$AC18,Dataset!$J:$J,"&lt;"&amp;$AD18,Dataset!$AH:$AH,"bono de gobierno",Dataset!$T:$T,"&lt;&gt;$",Dataset!$T:$T,"&lt;&gt;UF")</f>
        <v>0</v>
      </c>
      <c r="O18" s="24">
        <f>SUMIFS(Dataset!$AJ:$AJ,Dataset!$F:$F,Resumen!O$8,Dataset!$J:$J,"&gt;="&amp;$AC18,Dataset!$J:$J,"&lt;"&amp;$AD18,Dataset!$AH:$AH,"bono de gobierno",Dataset!$T:$T,"&lt;&gt;$",Dataset!$T:$T,"&lt;&gt;UF")</f>
        <v>0</v>
      </c>
      <c r="P18" s="25">
        <f>SUMIFS(Dataset!$AA:$AA,Dataset!$F:$F,Resumen!O$8,Dataset!$J:$J,"&gt;="&amp;$AC18,Dataset!$J:$J,"&lt;"&amp;$AD18,Dataset!$AH:$AH,"bono de gobierno",Dataset!$T:$T,"&lt;&gt;$",Dataset!$T:$T,"&lt;&gt;UF")</f>
        <v>0</v>
      </c>
      <c r="Q18" s="24">
        <f>SUMIFS(Dataset!$AJ:$AJ,Dataset!$F:$F,Resumen!Q$8,Dataset!$J:$J,"&gt;="&amp;$AC18,Dataset!$J:$J,"&lt;"&amp;$AD18,Dataset!$AH:$AH,"bono de gobierno",Dataset!$T:$T,"&lt;&gt;$",Dataset!$T:$T,"&lt;&gt;UF")</f>
        <v>0</v>
      </c>
      <c r="R18" s="25">
        <f>SUMIFS(Dataset!$AA:$AA,Dataset!$F:$F,Resumen!Q$8,Dataset!$J:$J,"&gt;="&amp;$AC18,Dataset!$J:$J,"&lt;"&amp;$AD18,Dataset!$AH:$AH,"bono de gobierno",Dataset!$T:$T,"&lt;&gt;$",Dataset!$T:$T,"&lt;&gt;UF")</f>
        <v>0</v>
      </c>
      <c r="S18" s="24">
        <f>SUMIFS(Dataset!$AJ:$AJ,Dataset!$F:$F,Resumen!S$8,Dataset!$J:$J,"&gt;="&amp;$AC18,Dataset!$J:$J,"&lt;"&amp;$AD18,Dataset!$AH:$AH,"bono de gobierno",Dataset!$T:$T,"&lt;&gt;$",Dataset!$T:$T,"&lt;&gt;UF")</f>
        <v>0</v>
      </c>
      <c r="T18" s="25">
        <f>SUMIFS(Dataset!$AA:$AA,Dataset!$F:$F,Resumen!S$8,Dataset!$J:$J,"&gt;="&amp;$AC18,Dataset!$J:$J,"&lt;"&amp;$AD18,Dataset!$AH:$AH,"bono de gobierno",Dataset!$T:$T,"&lt;&gt;$",Dataset!$T:$T,"&lt;&gt;UF")</f>
        <v>0</v>
      </c>
      <c r="U18" s="24">
        <f>SUMIFS(Dataset!$AJ:$AJ,Dataset!$F:$F,Resumen!U$8,Dataset!$J:$J,"&gt;="&amp;$AC18,Dataset!$J:$J,"&lt;"&amp;$AD18,Dataset!$AH:$AH,"bono de gobierno",Dataset!$T:$T,"&lt;&gt;$",Dataset!$T:$T,"&lt;&gt;UF")</f>
        <v>0</v>
      </c>
      <c r="V18" s="25">
        <f>SUMIFS(Dataset!$AA:$AA,Dataset!$F:$F,Resumen!U$8,Dataset!$J:$J,"&gt;="&amp;$AC18,Dataset!$J:$J,"&lt;"&amp;$AD18,Dataset!$AH:$AH,"bono de gobierno",Dataset!$T:$T,"&lt;&gt;$",Dataset!$T:$T,"&lt;&gt;UF")</f>
        <v>0</v>
      </c>
      <c r="W18" s="24">
        <f>SUMIFS(Dataset!$AJ:$AJ,Dataset!$F:$F,Resumen!W$8,Dataset!$J:$J,"&gt;="&amp;$AC18,Dataset!$J:$J,"&lt;"&amp;$AD18,Dataset!$AH:$AH,"bono de gobierno",Dataset!$T:$T,"&lt;&gt;$",Dataset!$T:$T,"&lt;&gt;UF")</f>
        <v>0</v>
      </c>
      <c r="X18" s="25">
        <f>SUMIFS(Dataset!$AA:$AA,Dataset!$F:$F,Resumen!W$8,Dataset!$J:$J,"&gt;="&amp;$AC18,Dataset!$J:$J,"&lt;"&amp;$AD18,Dataset!$AH:$AH,"bono de gobierno",Dataset!$T:$T,"&lt;&gt;$",Dataset!$T:$T,"&lt;&gt;UF")</f>
        <v>0</v>
      </c>
      <c r="Y18" s="24">
        <f>SUMIFS(Dataset!$AJ:$AJ,Dataset!$F:$F,Resumen!Y$8,Dataset!$J:$J,"&gt;="&amp;$AC18,Dataset!$J:$J,"&lt;"&amp;$AD18,Dataset!$AH:$AH,"bono de gobierno",Dataset!$T:$T,"&lt;&gt;$",Dataset!$T:$T,"&lt;&gt;UF")</f>
        <v>0</v>
      </c>
      <c r="Z18" s="25">
        <f>SUMIFS(Dataset!$AA:$AA,Dataset!$F:$F,Resumen!Y$8,Dataset!$J:$J,"&gt;="&amp;$AC18,Dataset!$J:$J,"&lt;"&amp;$AD18,Dataset!$AH:$AH,"bono de gobierno",Dataset!$T:$T,"&lt;&gt;$",Dataset!$T:$T,"&lt;&gt;UF")</f>
        <v>0</v>
      </c>
      <c r="AA18" s="24">
        <f>SUMIFS(Dataset!$AJ:$AJ,Dataset!$F:$F,Resumen!AA$8,Dataset!$J:$J,"&gt;="&amp;$AC18,Dataset!$J:$J,"&lt;"&amp;$AD18,Dataset!$AH:$AH,"bono de gobierno",Dataset!$T:$T,"&lt;&gt;$",Dataset!$T:$T,"&lt;&gt;UF")</f>
        <v>0</v>
      </c>
      <c r="AB18" s="25">
        <f>SUMIFS(Dataset!$AA:$AA,Dataset!$F:$F,Resumen!AA$8,Dataset!$J:$J,"&gt;="&amp;$AC18,Dataset!$J:$J,"&lt;"&amp;$AD18,Dataset!$AH:$AH,"bono de gobierno",Dataset!$T:$T,"&lt;&gt;$",Dataset!$T:$T,"&lt;&gt;UF")</f>
        <v>0</v>
      </c>
      <c r="AC18" s="22">
        <v>0</v>
      </c>
      <c r="AD18" s="22">
        <v>3</v>
      </c>
    </row>
    <row r="19" spans="2:34" ht="30" customHeight="1" x14ac:dyDescent="0.3">
      <c r="B19" s="159"/>
      <c r="C19" s="160" t="s">
        <v>120</v>
      </c>
      <c r="D19" s="160"/>
      <c r="E19" s="27">
        <f>SUMIFS(Dataset!$AJ:$AJ,Dataset!$F:$F,Resumen!E$8,Dataset!$J:$J,"&gt;="&amp;$AC19,Dataset!$J:$J,"&lt;"&amp;$AD19,Dataset!$AH:$AH,"bono de gobierno",Dataset!$T:$T,"&lt;&gt;$",Dataset!$T:$T,"&lt;&gt;UF")</f>
        <v>0</v>
      </c>
      <c r="F19" s="28">
        <f>SUMIFS(Dataset!$AA:$AA,Dataset!$F:$F,Resumen!E$8,Dataset!$J:$J,"&gt;="&amp;$AC19,Dataset!$J:$J,"&lt;"&amp;$AD19,Dataset!$AH:$AH,"bono de gobierno",Dataset!$T:$T,"&lt;&gt;$",Dataset!$T:$T,"&lt;&gt;UF")</f>
        <v>0</v>
      </c>
      <c r="G19" s="27">
        <f>SUMIFS(Dataset!$AJ:$AJ,Dataset!$F:$F,Resumen!G$8,Dataset!$J:$J,"&gt;="&amp;$AC19,Dataset!$J:$J,"&lt;"&amp;$AD19,Dataset!$AH:$AH,"bono de gobierno",Dataset!$T:$T,"&lt;&gt;$",Dataset!$T:$T,"&lt;&gt;UF")</f>
        <v>0</v>
      </c>
      <c r="H19" s="28">
        <f>SUMIFS(Dataset!$AA:$AA,Dataset!$F:$F,Resumen!G$8,Dataset!$J:$J,"&gt;="&amp;$AC19,Dataset!$J:$J,"&lt;"&amp;$AD19,Dataset!$AH:$AH,"bono de gobierno",Dataset!$T:$T,"&lt;&gt;$",Dataset!$T:$T,"&lt;&gt;UF")</f>
        <v>0</v>
      </c>
      <c r="I19" s="27">
        <f>SUMIFS(Dataset!$AJ:$AJ,Dataset!$F:$F,Resumen!I$8,Dataset!$J:$J,"&gt;="&amp;$AC19,Dataset!$J:$J,"&lt;"&amp;$AD19,Dataset!$AH:$AH,"bono de gobierno",Dataset!$T:$T,"&lt;&gt;$",Dataset!$T:$T,"&lt;&gt;UF")</f>
        <v>0</v>
      </c>
      <c r="J19" s="28">
        <f>SUMIFS(Dataset!$AA:$AA,Dataset!$F:$F,Resumen!I$8,Dataset!$J:$J,"&gt;="&amp;$AC19,Dataset!$J:$J,"&lt;"&amp;$AD19,Dataset!$AH:$AH,"bono de gobierno",Dataset!$T:$T,"&lt;&gt;$",Dataset!$T:$T,"&lt;&gt;UF")</f>
        <v>0</v>
      </c>
      <c r="K19" s="27">
        <f>SUMIFS(Dataset!$AJ:$AJ,Dataset!$F:$F,Resumen!K$8,Dataset!$J:$J,"&gt;="&amp;$AC19,Dataset!$J:$J,"&lt;"&amp;$AD19,Dataset!$AH:$AH,"bono de gobierno",Dataset!$T:$T,"&lt;&gt;$",Dataset!$T:$T,"&lt;&gt;UF")</f>
        <v>0</v>
      </c>
      <c r="L19" s="28">
        <f>SUMIFS(Dataset!$AA:$AA,Dataset!$F:$F,Resumen!K$8,Dataset!$J:$J,"&gt;="&amp;$AC19,Dataset!$J:$J,"&lt;"&amp;$AD19,Dataset!$AH:$AH,"bono de gobierno",Dataset!$T:$T,"&lt;&gt;$",Dataset!$T:$T,"&lt;&gt;UF")</f>
        <v>0</v>
      </c>
      <c r="M19" s="27">
        <f>SUMIFS(Dataset!$AJ:$AJ,Dataset!$F:$F,Resumen!M$8,Dataset!$J:$J,"&gt;="&amp;$AC19,Dataset!$J:$J,"&lt;"&amp;$AD19,Dataset!$AH:$AH,"bono de gobierno",Dataset!$T:$T,"&lt;&gt;$",Dataset!$T:$T,"&lt;&gt;UF")</f>
        <v>0</v>
      </c>
      <c r="N19" s="28">
        <f>SUMIFS(Dataset!$AA:$AA,Dataset!$F:$F,Resumen!M$8,Dataset!$J:$J,"&gt;="&amp;$AC19,Dataset!$J:$J,"&lt;"&amp;$AD19,Dataset!$AH:$AH,"bono de gobierno",Dataset!$T:$T,"&lt;&gt;$",Dataset!$T:$T,"&lt;&gt;UF")</f>
        <v>0</v>
      </c>
      <c r="O19" s="27">
        <f>SUMIFS(Dataset!$AJ:$AJ,Dataset!$F:$F,Resumen!O$8,Dataset!$J:$J,"&gt;="&amp;$AC19,Dataset!$J:$J,"&lt;"&amp;$AD19,Dataset!$AH:$AH,"bono de gobierno",Dataset!$T:$T,"&lt;&gt;$",Dataset!$T:$T,"&lt;&gt;UF")</f>
        <v>0</v>
      </c>
      <c r="P19" s="28">
        <f>SUMIFS(Dataset!$AA:$AA,Dataset!$F:$F,Resumen!O$8,Dataset!$J:$J,"&gt;="&amp;$AC19,Dataset!$J:$J,"&lt;"&amp;$AD19,Dataset!$AH:$AH,"bono de gobierno",Dataset!$T:$T,"&lt;&gt;$",Dataset!$T:$T,"&lt;&gt;UF")</f>
        <v>0</v>
      </c>
      <c r="Q19" s="27">
        <f>SUMIFS(Dataset!$AJ:$AJ,Dataset!$F:$F,Resumen!Q$8,Dataset!$J:$J,"&gt;="&amp;$AC19,Dataset!$J:$J,"&lt;"&amp;$AD19,Dataset!$AH:$AH,"bono de gobierno",Dataset!$T:$T,"&lt;&gt;$",Dataset!$T:$T,"&lt;&gt;UF")</f>
        <v>0</v>
      </c>
      <c r="R19" s="28">
        <f>SUMIFS(Dataset!$AA:$AA,Dataset!$F:$F,Resumen!Q$8,Dataset!$J:$J,"&gt;="&amp;$AC19,Dataset!$J:$J,"&lt;"&amp;$AD19,Dataset!$AH:$AH,"bono de gobierno",Dataset!$T:$T,"&lt;&gt;$",Dataset!$T:$T,"&lt;&gt;UF")</f>
        <v>0</v>
      </c>
      <c r="S19" s="27">
        <f>SUMIFS(Dataset!$AJ:$AJ,Dataset!$F:$F,Resumen!S$8,Dataset!$J:$J,"&gt;="&amp;$AC19,Dataset!$J:$J,"&lt;"&amp;$AD19,Dataset!$AH:$AH,"bono de gobierno",Dataset!$T:$T,"&lt;&gt;$",Dataset!$T:$T,"&lt;&gt;UF")</f>
        <v>0</v>
      </c>
      <c r="T19" s="28">
        <f>SUMIFS(Dataset!$AA:$AA,Dataset!$F:$F,Resumen!S$8,Dataset!$J:$J,"&gt;="&amp;$AC19,Dataset!$J:$J,"&lt;"&amp;$AD19,Dataset!$AH:$AH,"bono de gobierno",Dataset!$T:$T,"&lt;&gt;$",Dataset!$T:$T,"&lt;&gt;UF")</f>
        <v>0</v>
      </c>
      <c r="U19" s="27">
        <f>SUMIFS(Dataset!$AJ:$AJ,Dataset!$F:$F,Resumen!U$8,Dataset!$J:$J,"&gt;="&amp;$AC19,Dataset!$J:$J,"&lt;"&amp;$AD19,Dataset!$AH:$AH,"bono de gobierno",Dataset!$T:$T,"&lt;&gt;$",Dataset!$T:$T,"&lt;&gt;UF")</f>
        <v>0</v>
      </c>
      <c r="V19" s="28">
        <f>SUMIFS(Dataset!$AA:$AA,Dataset!$F:$F,Resumen!U$8,Dataset!$J:$J,"&gt;="&amp;$AC19,Dataset!$J:$J,"&lt;"&amp;$AD19,Dataset!$AH:$AH,"bono de gobierno",Dataset!$T:$T,"&lt;&gt;$",Dataset!$T:$T,"&lt;&gt;UF")</f>
        <v>0</v>
      </c>
      <c r="W19" s="27">
        <f>SUMIFS(Dataset!$AJ:$AJ,Dataset!$F:$F,Resumen!W$8,Dataset!$J:$J,"&gt;="&amp;$AC19,Dataset!$J:$J,"&lt;"&amp;$AD19,Dataset!$AH:$AH,"bono de gobierno",Dataset!$T:$T,"&lt;&gt;$",Dataset!$T:$T,"&lt;&gt;UF")</f>
        <v>0</v>
      </c>
      <c r="X19" s="28">
        <f>SUMIFS(Dataset!$AA:$AA,Dataset!$F:$F,Resumen!W$8,Dataset!$J:$J,"&gt;="&amp;$AC19,Dataset!$J:$J,"&lt;"&amp;$AD19,Dataset!$AH:$AH,"bono de gobierno",Dataset!$T:$T,"&lt;&gt;$",Dataset!$T:$T,"&lt;&gt;UF")</f>
        <v>0</v>
      </c>
      <c r="Y19" s="27">
        <f>SUMIFS(Dataset!$AJ:$AJ,Dataset!$F:$F,Resumen!Y$8,Dataset!$J:$J,"&gt;="&amp;$AC19,Dataset!$J:$J,"&lt;"&amp;$AD19,Dataset!$AH:$AH,"bono de gobierno",Dataset!$T:$T,"&lt;&gt;$",Dataset!$T:$T,"&lt;&gt;UF")</f>
        <v>0</v>
      </c>
      <c r="Z19" s="28">
        <f>SUMIFS(Dataset!$AA:$AA,Dataset!$F:$F,Resumen!Y$8,Dataset!$J:$J,"&gt;="&amp;$AC19,Dataset!$J:$J,"&lt;"&amp;$AD19,Dataset!$AH:$AH,"bono de gobierno",Dataset!$T:$T,"&lt;&gt;$",Dataset!$T:$T,"&lt;&gt;UF")</f>
        <v>0</v>
      </c>
      <c r="AA19" s="27">
        <f>SUMIFS(Dataset!$AJ:$AJ,Dataset!$F:$F,Resumen!AA$8,Dataset!$J:$J,"&gt;="&amp;$AC19,Dataset!$J:$J,"&lt;"&amp;$AD19,Dataset!$AH:$AH,"bono de gobierno",Dataset!$T:$T,"&lt;&gt;$",Dataset!$T:$T,"&lt;&gt;UF")</f>
        <v>0</v>
      </c>
      <c r="AB19" s="28">
        <f>SUMIFS(Dataset!$AA:$AA,Dataset!$F:$F,Resumen!AA$8,Dataset!$J:$J,"&gt;="&amp;$AC19,Dataset!$J:$J,"&lt;"&amp;$AD19,Dataset!$AH:$AH,"bono de gobierno",Dataset!$T:$T,"&lt;&gt;$",Dataset!$T:$T,"&lt;&gt;UF")</f>
        <v>0</v>
      </c>
      <c r="AC19" s="22">
        <v>3</v>
      </c>
      <c r="AD19" s="22">
        <v>5</v>
      </c>
    </row>
    <row r="20" spans="2:34" ht="30" customHeight="1" x14ac:dyDescent="0.3">
      <c r="B20" s="159"/>
      <c r="C20" s="160" t="s">
        <v>121</v>
      </c>
      <c r="D20" s="160"/>
      <c r="E20" s="27">
        <f>SUMIFS(Dataset!$AJ:$AJ,Dataset!$F:$F,Resumen!E$8,Dataset!$J:$J,"&gt;="&amp;$AC20,Dataset!$J:$J,"&lt;"&amp;$AD20,Dataset!$AH:$AH,"bono de gobierno",Dataset!$T:$T,"&lt;&gt;$",Dataset!$T:$T,"&lt;&gt;UF")</f>
        <v>0</v>
      </c>
      <c r="F20" s="28">
        <f>SUMIFS(Dataset!$AA:$AA,Dataset!$F:$F,Resumen!E$8,Dataset!$J:$J,"&gt;="&amp;$AC20,Dataset!$J:$J,"&lt;"&amp;$AD20,Dataset!$AH:$AH,"bono de gobierno",Dataset!$T:$T,"&lt;&gt;$",Dataset!$T:$T,"&lt;&gt;UF")</f>
        <v>0</v>
      </c>
      <c r="G20" s="27">
        <f>SUMIFS(Dataset!$AJ:$AJ,Dataset!$F:$F,Resumen!G$8,Dataset!$J:$J,"&gt;="&amp;$AC20,Dataset!$J:$J,"&lt;"&amp;$AD20,Dataset!$AH:$AH,"bono de gobierno",Dataset!$T:$T,"&lt;&gt;$",Dataset!$T:$T,"&lt;&gt;UF")</f>
        <v>0</v>
      </c>
      <c r="H20" s="28">
        <f>SUMIFS(Dataset!$AA:$AA,Dataset!$F:$F,Resumen!G$8,Dataset!$J:$J,"&gt;="&amp;$AC20,Dataset!$J:$J,"&lt;"&amp;$AD20,Dataset!$AH:$AH,"bono de gobierno",Dataset!$T:$T,"&lt;&gt;$",Dataset!$T:$T,"&lt;&gt;UF")</f>
        <v>0</v>
      </c>
      <c r="I20" s="27">
        <f>SUMIFS(Dataset!$AJ:$AJ,Dataset!$F:$F,Resumen!I$8,Dataset!$J:$J,"&gt;="&amp;$AC20,Dataset!$J:$J,"&lt;"&amp;$AD20,Dataset!$AH:$AH,"bono de gobierno",Dataset!$T:$T,"&lt;&gt;$",Dataset!$T:$T,"&lt;&gt;UF")</f>
        <v>0</v>
      </c>
      <c r="J20" s="28">
        <f>SUMIFS(Dataset!$AA:$AA,Dataset!$F:$F,Resumen!I$8,Dataset!$J:$J,"&gt;="&amp;$AC20,Dataset!$J:$J,"&lt;"&amp;$AD20,Dataset!$AH:$AH,"bono de gobierno",Dataset!$T:$T,"&lt;&gt;$",Dataset!$T:$T,"&lt;&gt;UF")</f>
        <v>0</v>
      </c>
      <c r="K20" s="27">
        <f>SUMIFS(Dataset!$AJ:$AJ,Dataset!$F:$F,Resumen!K$8,Dataset!$J:$J,"&gt;="&amp;$AC20,Dataset!$J:$J,"&lt;"&amp;$AD20,Dataset!$AH:$AH,"bono de gobierno",Dataset!$T:$T,"&lt;&gt;$",Dataset!$T:$T,"&lt;&gt;UF")</f>
        <v>0</v>
      </c>
      <c r="L20" s="28">
        <f>SUMIFS(Dataset!$AA:$AA,Dataset!$F:$F,Resumen!K$8,Dataset!$J:$J,"&gt;="&amp;$AC20,Dataset!$J:$J,"&lt;"&amp;$AD20,Dataset!$AH:$AH,"bono de gobierno",Dataset!$T:$T,"&lt;&gt;$",Dataset!$T:$T,"&lt;&gt;UF")</f>
        <v>0</v>
      </c>
      <c r="M20" s="27">
        <f>SUMIFS(Dataset!$AJ:$AJ,Dataset!$F:$F,Resumen!M$8,Dataset!$J:$J,"&gt;="&amp;$AC20,Dataset!$J:$J,"&lt;"&amp;$AD20,Dataset!$AH:$AH,"bono de gobierno",Dataset!$T:$T,"&lt;&gt;$",Dataset!$T:$T,"&lt;&gt;UF")</f>
        <v>0</v>
      </c>
      <c r="N20" s="28">
        <f>SUMIFS(Dataset!$AA:$AA,Dataset!$F:$F,Resumen!M$8,Dataset!$J:$J,"&gt;="&amp;$AC20,Dataset!$J:$J,"&lt;"&amp;$AD20,Dataset!$AH:$AH,"bono de gobierno",Dataset!$T:$T,"&lt;&gt;$",Dataset!$T:$T,"&lt;&gt;UF")</f>
        <v>0</v>
      </c>
      <c r="O20" s="27">
        <f>SUMIFS(Dataset!$AJ:$AJ,Dataset!$F:$F,Resumen!O$8,Dataset!$J:$J,"&gt;="&amp;$AC20,Dataset!$J:$J,"&lt;"&amp;$AD20,Dataset!$AH:$AH,"bono de gobierno",Dataset!$T:$T,"&lt;&gt;$",Dataset!$T:$T,"&lt;&gt;UF")</f>
        <v>0</v>
      </c>
      <c r="P20" s="28">
        <f>SUMIFS(Dataset!$AA:$AA,Dataset!$F:$F,Resumen!O$8,Dataset!$J:$J,"&gt;="&amp;$AC20,Dataset!$J:$J,"&lt;"&amp;$AD20,Dataset!$AH:$AH,"bono de gobierno",Dataset!$T:$T,"&lt;&gt;$",Dataset!$T:$T,"&lt;&gt;UF")</f>
        <v>0</v>
      </c>
      <c r="Q20" s="27">
        <f>SUMIFS(Dataset!$AJ:$AJ,Dataset!$F:$F,Resumen!Q$8,Dataset!$J:$J,"&gt;="&amp;$AC20,Dataset!$J:$J,"&lt;"&amp;$AD20,Dataset!$AH:$AH,"bono de gobierno",Dataset!$T:$T,"&lt;&gt;$",Dataset!$T:$T,"&lt;&gt;UF")</f>
        <v>0</v>
      </c>
      <c r="R20" s="28">
        <f>SUMIFS(Dataset!$AA:$AA,Dataset!$F:$F,Resumen!Q$8,Dataset!$J:$J,"&gt;="&amp;$AC20,Dataset!$J:$J,"&lt;"&amp;$AD20,Dataset!$AH:$AH,"bono de gobierno",Dataset!$T:$T,"&lt;&gt;$",Dataset!$T:$T,"&lt;&gt;UF")</f>
        <v>0</v>
      </c>
      <c r="S20" s="27">
        <f>SUMIFS(Dataset!$AJ:$AJ,Dataset!$F:$F,Resumen!S$8,Dataset!$J:$J,"&gt;="&amp;$AC20,Dataset!$J:$J,"&lt;"&amp;$AD20,Dataset!$AH:$AH,"bono de gobierno",Dataset!$T:$T,"&lt;&gt;$",Dataset!$T:$T,"&lt;&gt;UF")</f>
        <v>0</v>
      </c>
      <c r="T20" s="28">
        <f>SUMIFS(Dataset!$AA:$AA,Dataset!$F:$F,Resumen!S$8,Dataset!$J:$J,"&gt;="&amp;$AC20,Dataset!$J:$J,"&lt;"&amp;$AD20,Dataset!$AH:$AH,"bono de gobierno",Dataset!$T:$T,"&lt;&gt;$",Dataset!$T:$T,"&lt;&gt;UF")</f>
        <v>0</v>
      </c>
      <c r="U20" s="27">
        <f>SUMIFS(Dataset!$AJ:$AJ,Dataset!$F:$F,Resumen!U$8,Dataset!$J:$J,"&gt;="&amp;$AC20,Dataset!$J:$J,"&lt;"&amp;$AD20,Dataset!$AH:$AH,"bono de gobierno",Dataset!$T:$T,"&lt;&gt;$",Dataset!$T:$T,"&lt;&gt;UF")</f>
        <v>0</v>
      </c>
      <c r="V20" s="28">
        <f>SUMIFS(Dataset!$AA:$AA,Dataset!$F:$F,Resumen!U$8,Dataset!$J:$J,"&gt;="&amp;$AC20,Dataset!$J:$J,"&lt;"&amp;$AD20,Dataset!$AH:$AH,"bono de gobierno",Dataset!$T:$T,"&lt;&gt;$",Dataset!$T:$T,"&lt;&gt;UF")</f>
        <v>0</v>
      </c>
      <c r="W20" s="27">
        <f>SUMIFS(Dataset!$AJ:$AJ,Dataset!$F:$F,Resumen!W$8,Dataset!$J:$J,"&gt;="&amp;$AC20,Dataset!$J:$J,"&lt;"&amp;$AD20,Dataset!$AH:$AH,"bono de gobierno",Dataset!$T:$T,"&lt;&gt;$",Dataset!$T:$T,"&lt;&gt;UF")</f>
        <v>0</v>
      </c>
      <c r="X20" s="28">
        <f>SUMIFS(Dataset!$AA:$AA,Dataset!$F:$F,Resumen!W$8,Dataset!$J:$J,"&gt;="&amp;$AC20,Dataset!$J:$J,"&lt;"&amp;$AD20,Dataset!$AH:$AH,"bono de gobierno",Dataset!$T:$T,"&lt;&gt;$",Dataset!$T:$T,"&lt;&gt;UF")</f>
        <v>0</v>
      </c>
      <c r="Y20" s="27">
        <f>SUMIFS(Dataset!$AJ:$AJ,Dataset!$F:$F,Resumen!Y$8,Dataset!$J:$J,"&gt;="&amp;$AC20,Dataset!$J:$J,"&lt;"&amp;$AD20,Dataset!$AH:$AH,"bono de gobierno",Dataset!$T:$T,"&lt;&gt;$",Dataset!$T:$T,"&lt;&gt;UF")</f>
        <v>0</v>
      </c>
      <c r="Z20" s="28">
        <f>SUMIFS(Dataset!$AA:$AA,Dataset!$F:$F,Resumen!Y$8,Dataset!$J:$J,"&gt;="&amp;$AC20,Dataset!$J:$J,"&lt;"&amp;$AD20,Dataset!$AH:$AH,"bono de gobierno",Dataset!$T:$T,"&lt;&gt;$",Dataset!$T:$T,"&lt;&gt;UF")</f>
        <v>0</v>
      </c>
      <c r="AA20" s="27">
        <f>SUMIFS(Dataset!$AJ:$AJ,Dataset!$F:$F,Resumen!AA$8,Dataset!$J:$J,"&gt;="&amp;$AC20,Dataset!$J:$J,"&lt;"&amp;$AD20,Dataset!$AH:$AH,"bono de gobierno",Dataset!$T:$T,"&lt;&gt;$",Dataset!$T:$T,"&lt;&gt;UF")</f>
        <v>0</v>
      </c>
      <c r="AB20" s="28">
        <f>SUMIFS(Dataset!$AA:$AA,Dataset!$F:$F,Resumen!AA$8,Dataset!$J:$J,"&gt;="&amp;$AC20,Dataset!$J:$J,"&lt;"&amp;$AD20,Dataset!$AH:$AH,"bono de gobierno",Dataset!$T:$T,"&lt;&gt;$",Dataset!$T:$T,"&lt;&gt;UF")</f>
        <v>0</v>
      </c>
      <c r="AC20" s="22">
        <v>5</v>
      </c>
      <c r="AD20" s="22">
        <v>10</v>
      </c>
    </row>
    <row r="21" spans="2:34" ht="30" customHeight="1" x14ac:dyDescent="0.3">
      <c r="B21" s="159"/>
      <c r="C21" s="160" t="s">
        <v>122</v>
      </c>
      <c r="D21" s="160"/>
      <c r="E21" s="29">
        <f>SUMIFS(Dataset!$AJ:$AJ,Dataset!$F:$F,Resumen!E$8,Dataset!$J:$J,"&gt;="&amp;$AC21,Dataset!$J:$J,"&lt;"&amp;$AD21,Dataset!$AH:$AH,"bono de gobierno",Dataset!$T:$T,"&lt;&gt;$",Dataset!$T:$T,"&lt;&gt;UF")</f>
        <v>0</v>
      </c>
      <c r="F21" s="30">
        <f>SUMIFS(Dataset!$AA:$AA,Dataset!$F:$F,Resumen!E$8,Dataset!$J:$J,"&gt;="&amp;$AC21,Dataset!$J:$J,"&lt;"&amp;$AD21,Dataset!$AH:$AH,"bono de gobierno",Dataset!$T:$T,"&lt;&gt;$",Dataset!$T:$T,"&lt;&gt;UF")</f>
        <v>0</v>
      </c>
      <c r="G21" s="29">
        <f>SUMIFS(Dataset!$AJ:$AJ,Dataset!$F:$F,Resumen!G$8,Dataset!$J:$J,"&gt;="&amp;$AC21,Dataset!$J:$J,"&lt;"&amp;$AD21,Dataset!$AH:$AH,"bono de gobierno",Dataset!$T:$T,"&lt;&gt;$",Dataset!$T:$T,"&lt;&gt;UF")</f>
        <v>0</v>
      </c>
      <c r="H21" s="30">
        <f>SUMIFS(Dataset!$AA:$AA,Dataset!$F:$F,Resumen!G$8,Dataset!$J:$J,"&gt;="&amp;$AC21,Dataset!$J:$J,"&lt;"&amp;$AD21,Dataset!$AH:$AH,"bono de gobierno",Dataset!$T:$T,"&lt;&gt;$",Dataset!$T:$T,"&lt;&gt;UF")</f>
        <v>0</v>
      </c>
      <c r="I21" s="29">
        <f>SUMIFS(Dataset!$AJ:$AJ,Dataset!$F:$F,Resumen!I$8,Dataset!$J:$J,"&gt;="&amp;$AC21,Dataset!$J:$J,"&lt;"&amp;$AD21,Dataset!$AH:$AH,"bono de gobierno",Dataset!$T:$T,"&lt;&gt;$",Dataset!$T:$T,"&lt;&gt;UF")</f>
        <v>0</v>
      </c>
      <c r="J21" s="30">
        <f>SUMIFS(Dataset!$AA:$AA,Dataset!$F:$F,Resumen!I$8,Dataset!$J:$J,"&gt;="&amp;$AC21,Dataset!$J:$J,"&lt;"&amp;$AD21,Dataset!$AH:$AH,"bono de gobierno",Dataset!$T:$T,"&lt;&gt;$",Dataset!$T:$T,"&lt;&gt;UF")</f>
        <v>0</v>
      </c>
      <c r="K21" s="29">
        <f>SUMIFS(Dataset!$AJ:$AJ,Dataset!$F:$F,Resumen!K$8,Dataset!$J:$J,"&gt;="&amp;$AC21,Dataset!$J:$J,"&lt;"&amp;$AD21,Dataset!$AH:$AH,"bono de gobierno",Dataset!$T:$T,"&lt;&gt;$",Dataset!$T:$T,"&lt;&gt;UF")</f>
        <v>0</v>
      </c>
      <c r="L21" s="30">
        <f>SUMIFS(Dataset!$AA:$AA,Dataset!$F:$F,Resumen!K$8,Dataset!$J:$J,"&gt;="&amp;$AC21,Dataset!$J:$J,"&lt;"&amp;$AD21,Dataset!$AH:$AH,"bono de gobierno",Dataset!$T:$T,"&lt;&gt;$",Dataset!$T:$T,"&lt;&gt;UF")</f>
        <v>0</v>
      </c>
      <c r="M21" s="29">
        <f>SUMIFS(Dataset!$AJ:$AJ,Dataset!$F:$F,Resumen!M$8,Dataset!$J:$J,"&gt;="&amp;$AC21,Dataset!$J:$J,"&lt;"&amp;$AD21,Dataset!$AH:$AH,"bono de gobierno",Dataset!$T:$T,"&lt;&gt;$",Dataset!$T:$T,"&lt;&gt;UF")</f>
        <v>0</v>
      </c>
      <c r="N21" s="30">
        <f>SUMIFS(Dataset!$AA:$AA,Dataset!$F:$F,Resumen!M$8,Dataset!$J:$J,"&gt;="&amp;$AC21,Dataset!$J:$J,"&lt;"&amp;$AD21,Dataset!$AH:$AH,"bono de gobierno",Dataset!$T:$T,"&lt;&gt;$",Dataset!$T:$T,"&lt;&gt;UF")</f>
        <v>0</v>
      </c>
      <c r="O21" s="29">
        <f>SUMIFS(Dataset!$AJ:$AJ,Dataset!$F:$F,Resumen!O$8,Dataset!$J:$J,"&gt;="&amp;$AC21,Dataset!$J:$J,"&lt;"&amp;$AD21,Dataset!$AH:$AH,"bono de gobierno",Dataset!$T:$T,"&lt;&gt;$",Dataset!$T:$T,"&lt;&gt;UF")</f>
        <v>0</v>
      </c>
      <c r="P21" s="30">
        <f>SUMIFS(Dataset!$AA:$AA,Dataset!$F:$F,Resumen!O$8,Dataset!$J:$J,"&gt;="&amp;$AC21,Dataset!$J:$J,"&lt;"&amp;$AD21,Dataset!$AH:$AH,"bono de gobierno",Dataset!$T:$T,"&lt;&gt;$",Dataset!$T:$T,"&lt;&gt;UF")</f>
        <v>0</v>
      </c>
      <c r="Q21" s="29">
        <f>SUMIFS(Dataset!$AJ:$AJ,Dataset!$F:$F,Resumen!Q$8,Dataset!$J:$J,"&gt;="&amp;$AC21,Dataset!$J:$J,"&lt;"&amp;$AD21,Dataset!$AH:$AH,"bono de gobierno",Dataset!$T:$T,"&lt;&gt;$",Dataset!$T:$T,"&lt;&gt;UF")</f>
        <v>0</v>
      </c>
      <c r="R21" s="30">
        <f>SUMIFS(Dataset!$AA:$AA,Dataset!$F:$F,Resumen!Q$8,Dataset!$J:$J,"&gt;="&amp;$AC21,Dataset!$J:$J,"&lt;"&amp;$AD21,Dataset!$AH:$AH,"bono de gobierno",Dataset!$T:$T,"&lt;&gt;$",Dataset!$T:$T,"&lt;&gt;UF")</f>
        <v>0</v>
      </c>
      <c r="S21" s="29">
        <f>SUMIFS(Dataset!$AJ:$AJ,Dataset!$F:$F,Resumen!S$8,Dataset!$J:$J,"&gt;="&amp;$AC21,Dataset!$J:$J,"&lt;"&amp;$AD21,Dataset!$AH:$AH,"bono de gobierno",Dataset!$T:$T,"&lt;&gt;$",Dataset!$T:$T,"&lt;&gt;UF")</f>
        <v>0</v>
      </c>
      <c r="T21" s="30">
        <f>SUMIFS(Dataset!$AA:$AA,Dataset!$F:$F,Resumen!S$8,Dataset!$J:$J,"&gt;="&amp;$AC21,Dataset!$J:$J,"&lt;"&amp;$AD21,Dataset!$AH:$AH,"bono de gobierno",Dataset!$T:$T,"&lt;&gt;$",Dataset!$T:$T,"&lt;&gt;UF")</f>
        <v>0</v>
      </c>
      <c r="U21" s="29">
        <f>SUMIFS(Dataset!$AJ:$AJ,Dataset!$F:$F,Resumen!U$8,Dataset!$J:$J,"&gt;="&amp;$AC21,Dataset!$J:$J,"&lt;"&amp;$AD21,Dataset!$AH:$AH,"bono de gobierno",Dataset!$T:$T,"&lt;&gt;$",Dataset!$T:$T,"&lt;&gt;UF")</f>
        <v>0</v>
      </c>
      <c r="V21" s="30">
        <f>SUMIFS(Dataset!$AA:$AA,Dataset!$F:$F,Resumen!U$8,Dataset!$J:$J,"&gt;="&amp;$AC21,Dataset!$J:$J,"&lt;"&amp;$AD21,Dataset!$AH:$AH,"bono de gobierno",Dataset!$T:$T,"&lt;&gt;$",Dataset!$T:$T,"&lt;&gt;UF")</f>
        <v>0</v>
      </c>
      <c r="W21" s="29">
        <f>SUMIFS(Dataset!$AJ:$AJ,Dataset!$F:$F,Resumen!W$8,Dataset!$J:$J,"&gt;="&amp;$AC21,Dataset!$J:$J,"&lt;"&amp;$AD21,Dataset!$AH:$AH,"bono de gobierno",Dataset!$T:$T,"&lt;&gt;$",Dataset!$T:$T,"&lt;&gt;UF")</f>
        <v>0</v>
      </c>
      <c r="X21" s="30">
        <f>SUMIFS(Dataset!$AA:$AA,Dataset!$F:$F,Resumen!W$8,Dataset!$J:$J,"&gt;="&amp;$AC21,Dataset!$J:$J,"&lt;"&amp;$AD21,Dataset!$AH:$AH,"bono de gobierno",Dataset!$T:$T,"&lt;&gt;$",Dataset!$T:$T,"&lt;&gt;UF")</f>
        <v>0</v>
      </c>
      <c r="Y21" s="29">
        <f>SUMIFS(Dataset!$AJ:$AJ,Dataset!$F:$F,Resumen!Y$8,Dataset!$J:$J,"&gt;="&amp;$AC21,Dataset!$J:$J,"&lt;"&amp;$AD21,Dataset!$AH:$AH,"bono de gobierno",Dataset!$T:$T,"&lt;&gt;$",Dataset!$T:$T,"&lt;&gt;UF")</f>
        <v>0</v>
      </c>
      <c r="Z21" s="30">
        <f>SUMIFS(Dataset!$AA:$AA,Dataset!$F:$F,Resumen!Y$8,Dataset!$J:$J,"&gt;="&amp;$AC21,Dataset!$J:$J,"&lt;"&amp;$AD21,Dataset!$AH:$AH,"bono de gobierno",Dataset!$T:$T,"&lt;&gt;$",Dataset!$T:$T,"&lt;&gt;UF")</f>
        <v>0</v>
      </c>
      <c r="AA21" s="29">
        <f>SUMIFS(Dataset!$AJ:$AJ,Dataset!$F:$F,Resumen!AA$8,Dataset!$J:$J,"&gt;="&amp;$AC21,Dataset!$J:$J,"&lt;"&amp;$AD21,Dataset!$AH:$AH,"bono de gobierno",Dataset!$T:$T,"&lt;&gt;$",Dataset!$T:$T,"&lt;&gt;UF")</f>
        <v>0</v>
      </c>
      <c r="AB21" s="30">
        <f>SUMIFS(Dataset!$AA:$AA,Dataset!$F:$F,Resumen!AA$8,Dataset!$J:$J,"&gt;="&amp;$AC21,Dataset!$J:$J,"&lt;"&amp;$AD21,Dataset!$AH:$AH,"bono de gobierno",Dataset!$T:$T,"&lt;&gt;$",Dataset!$T:$T,"&lt;&gt;UF")</f>
        <v>0</v>
      </c>
      <c r="AC21" s="22">
        <v>10</v>
      </c>
      <c r="AD21" s="22">
        <v>100</v>
      </c>
    </row>
    <row r="22" spans="2:34" ht="30" customHeight="1" x14ac:dyDescent="0.3">
      <c r="B22" s="159" t="s">
        <v>94</v>
      </c>
      <c r="C22" s="158" t="s">
        <v>125</v>
      </c>
      <c r="D22" s="31" t="s">
        <v>119</v>
      </c>
      <c r="E22" s="24">
        <f>SUMIFS(Dataset!$AJ:$AJ,Dataset!$F:$F,Resumen!E$8,Dataset!$J:$J,"&gt;="&amp;$AC22,Dataset!$J:$J,"&lt;"&amp;$AD22,Dataset!$AH:$AH,"bono corporativo",Dataset!$T:$T,"$",Dataset!$AC:$AC,"*AA*")</f>
        <v>-1.2422280894760964E-3</v>
      </c>
      <c r="F22" s="25">
        <f>SUMIFS(Dataset!$AA:$AA,Dataset!$F:$F,Resumen!E$8,Dataset!$J:$J,"&gt;="&amp;$AC22,Dataset!$J:$J,"&lt;"&amp;$AD22,Dataset!$AH:$AH,"bono corporativo",Dataset!$T:$T,"$",Dataset!$AC:$AC,"*AA*")</f>
        <v>-2.0032161533309559E-2</v>
      </c>
      <c r="G22" s="24">
        <f>SUMIFS(Dataset!$AJ:$AJ,Dataset!$F:$F,Resumen!G$8,Dataset!$J:$J,"&gt;="&amp;$AC22,Dataset!$J:$J,"&lt;"&amp;$AD22,Dataset!$AH:$AH,"bono corporativo",Dataset!$T:$T,"$",Dataset!$AC:$AC,"*AA*")</f>
        <v>0</v>
      </c>
      <c r="H22" s="25">
        <f>SUMIFS(Dataset!$AA:$AA,Dataset!$F:$F,Resumen!G$8,Dataset!$J:$J,"&gt;="&amp;$AC22,Dataset!$J:$J,"&lt;"&amp;$AD22,Dataset!$AH:$AH,"bono corporativo",Dataset!$T:$T,"$",Dataset!$AC:$AC,"*AA*")</f>
        <v>0</v>
      </c>
      <c r="I22" s="24">
        <f>SUMIFS(Dataset!$AJ:$AJ,Dataset!$F:$F,Resumen!I$8,Dataset!$J:$J,"&gt;="&amp;$AC22,Dataset!$J:$J,"&lt;"&amp;$AD22,Dataset!$AH:$AH,"bono corporativo",Dataset!$T:$T,"$",Dataset!$AC:$AC,"*AA*")</f>
        <v>0</v>
      </c>
      <c r="J22" s="25">
        <f>SUMIFS(Dataset!$AA:$AA,Dataset!$F:$F,Resumen!I$8,Dataset!$J:$J,"&gt;="&amp;$AC22,Dataset!$J:$J,"&lt;"&amp;$AD22,Dataset!$AH:$AH,"bono corporativo",Dataset!$T:$T,"$",Dataset!$AC:$AC,"*AA*")</f>
        <v>0</v>
      </c>
      <c r="K22" s="24">
        <f>SUMIFS(Dataset!$AJ:$AJ,Dataset!$F:$F,Resumen!K$8,Dataset!$J:$J,"&gt;="&amp;$AC22,Dataset!$J:$J,"&lt;"&amp;$AD22,Dataset!$AH:$AH,"bono corporativo",Dataset!$T:$T,"$",Dataset!$AC:$AC,"*AA*")</f>
        <v>0</v>
      </c>
      <c r="L22" s="25">
        <f>SUMIFS(Dataset!$AA:$AA,Dataset!$F:$F,Resumen!K$8,Dataset!$J:$J,"&gt;="&amp;$AC22,Dataset!$J:$J,"&lt;"&amp;$AD22,Dataset!$AH:$AH,"bono corporativo",Dataset!$T:$T,"$",Dataset!$AC:$AC,"*AA*")</f>
        <v>0</v>
      </c>
      <c r="M22" s="24">
        <f>SUMIFS(Dataset!$AJ:$AJ,Dataset!$F:$F,Resumen!M$8,Dataset!$J:$J,"&gt;="&amp;$AC22,Dataset!$J:$J,"&lt;"&amp;$AD22,Dataset!$AH:$AH,"bono corporativo",Dataset!$T:$T,"$",Dataset!$AC:$AC,"*AA*")</f>
        <v>5.9114294030318648E-2</v>
      </c>
      <c r="N22" s="25">
        <f>SUMIFS(Dataset!$AA:$AA,Dataset!$F:$F,Resumen!M$8,Dataset!$J:$J,"&gt;="&amp;$AC22,Dataset!$J:$J,"&lt;"&amp;$AD22,Dataset!$AH:$AH,"bono corporativo",Dataset!$T:$T,"$",Dataset!$AC:$AC,"*AA*")</f>
        <v>3.3448915846466694E-4</v>
      </c>
      <c r="O22" s="24">
        <f>SUMIFS(Dataset!$AJ:$AJ,Dataset!$F:$F,Resumen!O$8,Dataset!$J:$J,"&gt;="&amp;$AC22,Dataset!$J:$J,"&lt;"&amp;$AD22,Dataset!$AH:$AH,"bono corporativo",Dataset!$T:$T,"$",Dataset!$AC:$AC,"*AA*")</f>
        <v>0</v>
      </c>
      <c r="P22" s="25">
        <f>SUMIFS(Dataset!$AA:$AA,Dataset!$F:$F,Resumen!O$8,Dataset!$J:$J,"&gt;="&amp;$AC22,Dataset!$J:$J,"&lt;"&amp;$AD22,Dataset!$AH:$AH,"bono corporativo",Dataset!$T:$T,"$",Dataset!$AC:$AC,"*AA*")</f>
        <v>0</v>
      </c>
      <c r="Q22" s="24">
        <f>SUMIFS(Dataset!$AJ:$AJ,Dataset!$F:$F,Resumen!Q$8,Dataset!$J:$J,"&gt;="&amp;$AC22,Dataset!$J:$J,"&lt;"&amp;$AD22,Dataset!$AH:$AH,"bono corporativo",Dataset!$T:$T,"$",Dataset!$AC:$AC,"*AA*")</f>
        <v>0</v>
      </c>
      <c r="R22" s="25">
        <f>SUMIFS(Dataset!$AA:$AA,Dataset!$F:$F,Resumen!Q$8,Dataset!$J:$J,"&gt;="&amp;$AC22,Dataset!$J:$J,"&lt;"&amp;$AD22,Dataset!$AH:$AH,"bono corporativo",Dataset!$T:$T,"$",Dataset!$AC:$AC,"*AA*")</f>
        <v>0</v>
      </c>
      <c r="S22" s="24">
        <f>SUMIFS(Dataset!$AJ:$AJ,Dataset!$F:$F,Resumen!S$8,Dataset!$J:$J,"&gt;="&amp;$AC22,Dataset!$J:$J,"&lt;"&amp;$AD22,Dataset!$AH:$AH,"bono corporativo",Dataset!$T:$T,"$",Dataset!$AC:$AC,"*AA*")</f>
        <v>0</v>
      </c>
      <c r="T22" s="25">
        <f>SUMIFS(Dataset!$AA:$AA,Dataset!$F:$F,Resumen!S$8,Dataset!$J:$J,"&gt;="&amp;$AC22,Dataset!$J:$J,"&lt;"&amp;$AD22,Dataset!$AH:$AH,"bono corporativo",Dataset!$T:$T,"$",Dataset!$AC:$AC,"*AA*")</f>
        <v>0</v>
      </c>
      <c r="U22" s="24">
        <f>SUMIFS(Dataset!$AJ:$AJ,Dataset!$F:$F,Resumen!U$8,Dataset!$J:$J,"&gt;="&amp;$AC22,Dataset!$J:$J,"&lt;"&amp;$AD22,Dataset!$AH:$AH,"bono corporativo",Dataset!$T:$T,"$",Dataset!$AC:$AC,"*AA*")</f>
        <v>0</v>
      </c>
      <c r="V22" s="25">
        <f>SUMIFS(Dataset!$AA:$AA,Dataset!$F:$F,Resumen!U$8,Dataset!$J:$J,"&gt;="&amp;$AC22,Dataset!$J:$J,"&lt;"&amp;$AD22,Dataset!$AH:$AH,"bono corporativo",Dataset!$T:$T,"$",Dataset!$AC:$AC,"*AA*")</f>
        <v>0</v>
      </c>
      <c r="W22" s="24">
        <f>SUMIFS(Dataset!$AJ:$AJ,Dataset!$F:$F,Resumen!W$8,Dataset!$J:$J,"&gt;="&amp;$AC22,Dataset!$J:$J,"&lt;"&amp;$AD22,Dataset!$AH:$AH,"bono corporativo",Dataset!$T:$T,"$",Dataset!$AC:$AC,"*AA*")</f>
        <v>0</v>
      </c>
      <c r="X22" s="25">
        <f>SUMIFS(Dataset!$AA:$AA,Dataset!$F:$F,Resumen!W$8,Dataset!$J:$J,"&gt;="&amp;$AC22,Dataset!$J:$J,"&lt;"&amp;$AD22,Dataset!$AH:$AH,"bono corporativo",Dataset!$T:$T,"$",Dataset!$AC:$AC,"*AA*")</f>
        <v>0</v>
      </c>
      <c r="Y22" s="24">
        <f>SUMIFS(Dataset!$AJ:$AJ,Dataset!$F:$F,Resumen!Y$8,Dataset!$J:$J,"&gt;="&amp;$AC22,Dataset!$J:$J,"&lt;"&amp;$AD22,Dataset!$AH:$AH,"bono corporativo",Dataset!$T:$T,"$",Dataset!$AC:$AC,"*AA*")</f>
        <v>0</v>
      </c>
      <c r="Z22" s="25">
        <f>SUMIFS(Dataset!$AA:$AA,Dataset!$F:$F,Resumen!Y$8,Dataset!$J:$J,"&gt;="&amp;$AC22,Dataset!$J:$J,"&lt;"&amp;$AD22,Dataset!$AH:$AH,"bono corporativo",Dataset!$T:$T,"$",Dataset!$AC:$AC,"*AA*")</f>
        <v>0</v>
      </c>
      <c r="AA22" s="24">
        <f>SUMIFS(Dataset!$AJ:$AJ,Dataset!$F:$F,Resumen!AA$8,Dataset!$J:$J,"&gt;="&amp;$AC22,Dataset!$J:$J,"&lt;"&amp;$AD22,Dataset!$AH:$AH,"bono corporativo",Dataset!$T:$T,"$",Dataset!$AC:$AC,"*AA*")</f>
        <v>0</v>
      </c>
      <c r="AB22" s="25">
        <f>SUMIFS(Dataset!$AA:$AA,Dataset!$F:$F,Resumen!AA$8,Dataset!$J:$J,"&gt;="&amp;$AC22,Dataset!$J:$J,"&lt;"&amp;$AD22,Dataset!$AH:$AH,"bono corporativo",Dataset!$T:$T,"$",Dataset!$AC:$AC,"*AA*")</f>
        <v>0</v>
      </c>
      <c r="AC22" s="22">
        <v>0</v>
      </c>
      <c r="AD22" s="22">
        <v>3</v>
      </c>
    </row>
    <row r="23" spans="2:34" ht="30" customHeight="1" x14ac:dyDescent="0.3">
      <c r="B23" s="159"/>
      <c r="C23" s="158"/>
      <c r="D23" s="31" t="s">
        <v>120</v>
      </c>
      <c r="E23" s="27">
        <f>SUMIFS(Dataset!$AJ:$AJ,Dataset!$F:$F,Resumen!E$8,Dataset!$J:$J,"&gt;="&amp;$AC23,Dataset!$J:$J,"&lt;"&amp;$AD23,Dataset!$AH:$AH,"bono corporativo",Dataset!$T:$T,"$",Dataset!$AC:$AC,"*AA*")</f>
        <v>3.4105920360008292E-2</v>
      </c>
      <c r="F23" s="28">
        <f>SUMIFS(Dataset!$AA:$AA,Dataset!$F:$F,Resumen!E$8,Dataset!$J:$J,"&gt;="&amp;$AC23,Dataset!$J:$J,"&lt;"&amp;$AD23,Dataset!$AH:$AH,"bono corporativo",Dataset!$T:$T,"$",Dataset!$AC:$AC,"*AA*")</f>
        <v>1.9903579894859458E-2</v>
      </c>
      <c r="G23" s="27">
        <f>SUMIFS(Dataset!$AJ:$AJ,Dataset!$F:$F,Resumen!G$8,Dataset!$J:$J,"&gt;="&amp;$AC23,Dataset!$J:$J,"&lt;"&amp;$AD23,Dataset!$AH:$AH,"bono corporativo",Dataset!$T:$T,"$",Dataset!$AC:$AC,"*AA*")</f>
        <v>0</v>
      </c>
      <c r="H23" s="28">
        <f>SUMIFS(Dataset!$AA:$AA,Dataset!$F:$F,Resumen!G$8,Dataset!$J:$J,"&gt;="&amp;$AC23,Dataset!$J:$J,"&lt;"&amp;$AD23,Dataset!$AH:$AH,"bono corporativo",Dataset!$T:$T,"$",Dataset!$AC:$AC,"*AA*")</f>
        <v>0</v>
      </c>
      <c r="I23" s="27">
        <f>SUMIFS(Dataset!$AJ:$AJ,Dataset!$F:$F,Resumen!I$8,Dataset!$J:$J,"&gt;="&amp;$AC23,Dataset!$J:$J,"&lt;"&amp;$AD23,Dataset!$AH:$AH,"bono corporativo",Dataset!$T:$T,"$",Dataset!$AC:$AC,"*AA*")</f>
        <v>0</v>
      </c>
      <c r="J23" s="28">
        <f>SUMIFS(Dataset!$AA:$AA,Dataset!$F:$F,Resumen!I$8,Dataset!$J:$J,"&gt;="&amp;$AC23,Dataset!$J:$J,"&lt;"&amp;$AD23,Dataset!$AH:$AH,"bono corporativo",Dataset!$T:$T,"$",Dataset!$AC:$AC,"*AA*")</f>
        <v>0</v>
      </c>
      <c r="K23" s="27">
        <f>SUMIFS(Dataset!$AJ:$AJ,Dataset!$F:$F,Resumen!K$8,Dataset!$J:$J,"&gt;="&amp;$AC23,Dataset!$J:$J,"&lt;"&amp;$AD23,Dataset!$AH:$AH,"bono corporativo",Dataset!$T:$T,"$",Dataset!$AC:$AC,"*AA*")</f>
        <v>0</v>
      </c>
      <c r="L23" s="28">
        <f>SUMIFS(Dataset!$AA:$AA,Dataset!$F:$F,Resumen!K$8,Dataset!$J:$J,"&gt;="&amp;$AC23,Dataset!$J:$J,"&lt;"&amp;$AD23,Dataset!$AH:$AH,"bono corporativo",Dataset!$T:$T,"$",Dataset!$AC:$AC,"*AA*")</f>
        <v>0</v>
      </c>
      <c r="M23" s="27">
        <f>SUMIFS(Dataset!$AJ:$AJ,Dataset!$F:$F,Resumen!M$8,Dataset!$J:$J,"&gt;="&amp;$AC23,Dataset!$J:$J,"&lt;"&amp;$AD23,Dataset!$AH:$AH,"bono corporativo",Dataset!$T:$T,"$",Dataset!$AC:$AC,"*AA*")</f>
        <v>1.8046930507408403E-2</v>
      </c>
      <c r="N23" s="28">
        <f>SUMIFS(Dataset!$AA:$AA,Dataset!$F:$F,Resumen!M$8,Dataset!$J:$J,"&gt;="&amp;$AC23,Dataset!$J:$J,"&lt;"&amp;$AD23,Dataset!$AH:$AH,"bono corporativo",Dataset!$T:$T,"$",Dataset!$AC:$AC,"*AA*")</f>
        <v>7.8685509246544348E-3</v>
      </c>
      <c r="O23" s="27">
        <f>SUMIFS(Dataset!$AJ:$AJ,Dataset!$F:$F,Resumen!O$8,Dataset!$J:$J,"&gt;="&amp;$AC23,Dataset!$J:$J,"&lt;"&amp;$AD23,Dataset!$AH:$AH,"bono corporativo",Dataset!$T:$T,"$",Dataset!$AC:$AC,"*AA*")</f>
        <v>0</v>
      </c>
      <c r="P23" s="28">
        <f>SUMIFS(Dataset!$AA:$AA,Dataset!$F:$F,Resumen!O$8,Dataset!$J:$J,"&gt;="&amp;$AC23,Dataset!$J:$J,"&lt;"&amp;$AD23,Dataset!$AH:$AH,"bono corporativo",Dataset!$T:$T,"$",Dataset!$AC:$AC,"*AA*")</f>
        <v>0</v>
      </c>
      <c r="Q23" s="27">
        <f>SUMIFS(Dataset!$AJ:$AJ,Dataset!$F:$F,Resumen!Q$8,Dataset!$J:$J,"&gt;="&amp;$AC23,Dataset!$J:$J,"&lt;"&amp;$AD23,Dataset!$AH:$AH,"bono corporativo",Dataset!$T:$T,"$",Dataset!$AC:$AC,"*AA*")</f>
        <v>0</v>
      </c>
      <c r="R23" s="28">
        <f>SUMIFS(Dataset!$AA:$AA,Dataset!$F:$F,Resumen!Q$8,Dataset!$J:$J,"&gt;="&amp;$AC23,Dataset!$J:$J,"&lt;"&amp;$AD23,Dataset!$AH:$AH,"bono corporativo",Dataset!$T:$T,"$",Dataset!$AC:$AC,"*AA*")</f>
        <v>0</v>
      </c>
      <c r="S23" s="27">
        <f>SUMIFS(Dataset!$AJ:$AJ,Dataset!$F:$F,Resumen!S$8,Dataset!$J:$J,"&gt;="&amp;$AC23,Dataset!$J:$J,"&lt;"&amp;$AD23,Dataset!$AH:$AH,"bono corporativo",Dataset!$T:$T,"$",Dataset!$AC:$AC,"*AA*")</f>
        <v>0</v>
      </c>
      <c r="T23" s="28">
        <f>SUMIFS(Dataset!$AA:$AA,Dataset!$F:$F,Resumen!S$8,Dataset!$J:$J,"&gt;="&amp;$AC23,Dataset!$J:$J,"&lt;"&amp;$AD23,Dataset!$AH:$AH,"bono corporativo",Dataset!$T:$T,"$",Dataset!$AC:$AC,"*AA*")</f>
        <v>0</v>
      </c>
      <c r="U23" s="27">
        <f>SUMIFS(Dataset!$AJ:$AJ,Dataset!$F:$F,Resumen!U$8,Dataset!$J:$J,"&gt;="&amp;$AC23,Dataset!$J:$J,"&lt;"&amp;$AD23,Dataset!$AH:$AH,"bono corporativo",Dataset!$T:$T,"$",Dataset!$AC:$AC,"*AA*")</f>
        <v>0</v>
      </c>
      <c r="V23" s="28">
        <f>SUMIFS(Dataset!$AA:$AA,Dataset!$F:$F,Resumen!U$8,Dataset!$J:$J,"&gt;="&amp;$AC23,Dataset!$J:$J,"&lt;"&amp;$AD23,Dataset!$AH:$AH,"bono corporativo",Dataset!$T:$T,"$",Dataset!$AC:$AC,"*AA*")</f>
        <v>0</v>
      </c>
      <c r="W23" s="27">
        <f>SUMIFS(Dataset!$AJ:$AJ,Dataset!$F:$F,Resumen!W$8,Dataset!$J:$J,"&gt;="&amp;$AC23,Dataset!$J:$J,"&lt;"&amp;$AD23,Dataset!$AH:$AH,"bono corporativo",Dataset!$T:$T,"$",Dataset!$AC:$AC,"*AA*")</f>
        <v>0</v>
      </c>
      <c r="X23" s="28">
        <f>SUMIFS(Dataset!$AA:$AA,Dataset!$F:$F,Resumen!W$8,Dataset!$J:$J,"&gt;="&amp;$AC23,Dataset!$J:$J,"&lt;"&amp;$AD23,Dataset!$AH:$AH,"bono corporativo",Dataset!$T:$T,"$",Dataset!$AC:$AC,"*AA*")</f>
        <v>0</v>
      </c>
      <c r="Y23" s="27">
        <f>SUMIFS(Dataset!$AJ:$AJ,Dataset!$F:$F,Resumen!Y$8,Dataset!$J:$J,"&gt;="&amp;$AC23,Dataset!$J:$J,"&lt;"&amp;$AD23,Dataset!$AH:$AH,"bono corporativo",Dataset!$T:$T,"$",Dataset!$AC:$AC,"*AA*")</f>
        <v>0</v>
      </c>
      <c r="Z23" s="28">
        <f>SUMIFS(Dataset!$AA:$AA,Dataset!$F:$F,Resumen!Y$8,Dataset!$J:$J,"&gt;="&amp;$AC23,Dataset!$J:$J,"&lt;"&amp;$AD23,Dataset!$AH:$AH,"bono corporativo",Dataset!$T:$T,"$",Dataset!$AC:$AC,"*AA*")</f>
        <v>0</v>
      </c>
      <c r="AA23" s="27">
        <f>SUMIFS(Dataset!$AJ:$AJ,Dataset!$F:$F,Resumen!AA$8,Dataset!$J:$J,"&gt;="&amp;$AC23,Dataset!$J:$J,"&lt;"&amp;$AD23,Dataset!$AH:$AH,"bono corporativo",Dataset!$T:$T,"$",Dataset!$AC:$AC,"*AA*")</f>
        <v>0</v>
      </c>
      <c r="AB23" s="28">
        <f>SUMIFS(Dataset!$AA:$AA,Dataset!$F:$F,Resumen!AA$8,Dataset!$J:$J,"&gt;="&amp;$AC23,Dataset!$J:$J,"&lt;"&amp;$AD23,Dataset!$AH:$AH,"bono corporativo",Dataset!$T:$T,"$",Dataset!$AC:$AC,"*AA*")</f>
        <v>0</v>
      </c>
      <c r="AC23" s="22">
        <v>3</v>
      </c>
      <c r="AD23" s="22">
        <v>5</v>
      </c>
    </row>
    <row r="24" spans="2:34" ht="30" customHeight="1" x14ac:dyDescent="0.3">
      <c r="B24" s="159"/>
      <c r="C24" s="158"/>
      <c r="D24" s="31" t="s">
        <v>121</v>
      </c>
      <c r="E24" s="27">
        <f>SUMIFS(Dataset!$AJ:$AJ,Dataset!$F:$F,Resumen!E$8,Dataset!$J:$J,"&gt;="&amp;$AC24,Dataset!$J:$J,"&lt;"&amp;$AD24,Dataset!$AH:$AH,"bono corporativo",Dataset!$T:$T,"$",Dataset!$AC:$AC,"*AA*")</f>
        <v>3.4714910451302972E-3</v>
      </c>
      <c r="F24" s="28">
        <f>SUMIFS(Dataset!$AA:$AA,Dataset!$F:$F,Resumen!E$8,Dataset!$J:$J,"&gt;="&amp;$AC24,Dataset!$J:$J,"&lt;"&amp;$AD24,Dataset!$AH:$AH,"bono corporativo",Dataset!$T:$T,"$",Dataset!$AC:$AC,"*AA*")</f>
        <v>3.6490909055197094E-4</v>
      </c>
      <c r="G24" s="27">
        <f>SUMIFS(Dataset!$AJ:$AJ,Dataset!$F:$F,Resumen!G$8,Dataset!$J:$J,"&gt;="&amp;$AC24,Dataset!$J:$J,"&lt;"&amp;$AD24,Dataset!$AH:$AH,"bono corporativo",Dataset!$T:$T,"$",Dataset!$AC:$AC,"*AA*")</f>
        <v>0</v>
      </c>
      <c r="H24" s="28">
        <f>SUMIFS(Dataset!$AA:$AA,Dataset!$F:$F,Resumen!G$8,Dataset!$J:$J,"&gt;="&amp;$AC24,Dataset!$J:$J,"&lt;"&amp;$AD24,Dataset!$AH:$AH,"bono corporativo",Dataset!$T:$T,"$",Dataset!$AC:$AC,"*AA*")</f>
        <v>0</v>
      </c>
      <c r="I24" s="27">
        <f>SUMIFS(Dataset!$AJ:$AJ,Dataset!$F:$F,Resumen!I$8,Dataset!$J:$J,"&gt;="&amp;$AC24,Dataset!$J:$J,"&lt;"&amp;$AD24,Dataset!$AH:$AH,"bono corporativo",Dataset!$T:$T,"$",Dataset!$AC:$AC,"*AA*")</f>
        <v>0</v>
      </c>
      <c r="J24" s="28">
        <f>SUMIFS(Dataset!$AA:$AA,Dataset!$F:$F,Resumen!I$8,Dataset!$J:$J,"&gt;="&amp;$AC24,Dataset!$J:$J,"&lt;"&amp;$AD24,Dataset!$AH:$AH,"bono corporativo",Dataset!$T:$T,"$",Dataset!$AC:$AC,"*AA*")</f>
        <v>0</v>
      </c>
      <c r="K24" s="27">
        <f>SUMIFS(Dataset!$AJ:$AJ,Dataset!$F:$F,Resumen!K$8,Dataset!$J:$J,"&gt;="&amp;$AC24,Dataset!$J:$J,"&lt;"&amp;$AD24,Dataset!$AH:$AH,"bono corporativo",Dataset!$T:$T,"$",Dataset!$AC:$AC,"*AA*")</f>
        <v>0</v>
      </c>
      <c r="L24" s="28">
        <f>SUMIFS(Dataset!$AA:$AA,Dataset!$F:$F,Resumen!K$8,Dataset!$J:$J,"&gt;="&amp;$AC24,Dataset!$J:$J,"&lt;"&amp;$AD24,Dataset!$AH:$AH,"bono corporativo",Dataset!$T:$T,"$",Dataset!$AC:$AC,"*AA*")</f>
        <v>0</v>
      </c>
      <c r="M24" s="27">
        <f>SUMIFS(Dataset!$AJ:$AJ,Dataset!$F:$F,Resumen!M$8,Dataset!$J:$J,"&gt;="&amp;$AC24,Dataset!$J:$J,"&lt;"&amp;$AD24,Dataset!$AH:$AH,"bono corporativo",Dataset!$T:$T,"$",Dataset!$AC:$AC,"*AA*")</f>
        <v>1.4197410298432741E-2</v>
      </c>
      <c r="N24" s="28">
        <f>SUMIFS(Dataset!$AA:$AA,Dataset!$F:$F,Resumen!M$8,Dataset!$J:$J,"&gt;="&amp;$AC24,Dataset!$J:$J,"&lt;"&amp;$AD24,Dataset!$AH:$AH,"bono corporativo",Dataset!$T:$T,"$",Dataset!$AC:$AC,"*AA*")</f>
        <v>1.1872635387746997E-2</v>
      </c>
      <c r="O24" s="27">
        <f>SUMIFS(Dataset!$AJ:$AJ,Dataset!$F:$F,Resumen!O$8,Dataset!$J:$J,"&gt;="&amp;$AC24,Dataset!$J:$J,"&lt;"&amp;$AD24,Dataset!$AH:$AH,"bono corporativo",Dataset!$T:$T,"$",Dataset!$AC:$AC,"*AA*")</f>
        <v>0</v>
      </c>
      <c r="P24" s="28">
        <f>SUMIFS(Dataset!$AA:$AA,Dataset!$F:$F,Resumen!O$8,Dataset!$J:$J,"&gt;="&amp;$AC24,Dataset!$J:$J,"&lt;"&amp;$AD24,Dataset!$AH:$AH,"bono corporativo",Dataset!$T:$T,"$",Dataset!$AC:$AC,"*AA*")</f>
        <v>0</v>
      </c>
      <c r="Q24" s="27">
        <f>SUMIFS(Dataset!$AJ:$AJ,Dataset!$F:$F,Resumen!Q$8,Dataset!$J:$J,"&gt;="&amp;$AC24,Dataset!$J:$J,"&lt;"&amp;$AD24,Dataset!$AH:$AH,"bono corporativo",Dataset!$T:$T,"$",Dataset!$AC:$AC,"*AA*")</f>
        <v>0</v>
      </c>
      <c r="R24" s="28">
        <f>SUMIFS(Dataset!$AA:$AA,Dataset!$F:$F,Resumen!Q$8,Dataset!$J:$J,"&gt;="&amp;$AC24,Dataset!$J:$J,"&lt;"&amp;$AD24,Dataset!$AH:$AH,"bono corporativo",Dataset!$T:$T,"$",Dataset!$AC:$AC,"*AA*")</f>
        <v>0</v>
      </c>
      <c r="S24" s="27">
        <f>SUMIFS(Dataset!$AJ:$AJ,Dataset!$F:$F,Resumen!S$8,Dataset!$J:$J,"&gt;="&amp;$AC24,Dataset!$J:$J,"&lt;"&amp;$AD24,Dataset!$AH:$AH,"bono corporativo",Dataset!$T:$T,"$",Dataset!$AC:$AC,"*AA*")</f>
        <v>0</v>
      </c>
      <c r="T24" s="28">
        <f>SUMIFS(Dataset!$AA:$AA,Dataset!$F:$F,Resumen!S$8,Dataset!$J:$J,"&gt;="&amp;$AC24,Dataset!$J:$J,"&lt;"&amp;$AD24,Dataset!$AH:$AH,"bono corporativo",Dataset!$T:$T,"$",Dataset!$AC:$AC,"*AA*")</f>
        <v>0</v>
      </c>
      <c r="U24" s="27">
        <f>SUMIFS(Dataset!$AJ:$AJ,Dataset!$F:$F,Resumen!U$8,Dataset!$J:$J,"&gt;="&amp;$AC24,Dataset!$J:$J,"&lt;"&amp;$AD24,Dataset!$AH:$AH,"bono corporativo",Dataset!$T:$T,"$",Dataset!$AC:$AC,"*AA*")</f>
        <v>0</v>
      </c>
      <c r="V24" s="28">
        <f>SUMIFS(Dataset!$AA:$AA,Dataset!$F:$F,Resumen!U$8,Dataset!$J:$J,"&gt;="&amp;$AC24,Dataset!$J:$J,"&lt;"&amp;$AD24,Dataset!$AH:$AH,"bono corporativo",Dataset!$T:$T,"$",Dataset!$AC:$AC,"*AA*")</f>
        <v>0</v>
      </c>
      <c r="W24" s="27">
        <f>SUMIFS(Dataset!$AJ:$AJ,Dataset!$F:$F,Resumen!W$8,Dataset!$J:$J,"&gt;="&amp;$AC24,Dataset!$J:$J,"&lt;"&amp;$AD24,Dataset!$AH:$AH,"bono corporativo",Dataset!$T:$T,"$",Dataset!$AC:$AC,"*AA*")</f>
        <v>0</v>
      </c>
      <c r="X24" s="28">
        <f>SUMIFS(Dataset!$AA:$AA,Dataset!$F:$F,Resumen!W$8,Dataset!$J:$J,"&gt;="&amp;$AC24,Dataset!$J:$J,"&lt;"&amp;$AD24,Dataset!$AH:$AH,"bono corporativo",Dataset!$T:$T,"$",Dataset!$AC:$AC,"*AA*")</f>
        <v>0</v>
      </c>
      <c r="Y24" s="27">
        <f>SUMIFS(Dataset!$AJ:$AJ,Dataset!$F:$F,Resumen!Y$8,Dataset!$J:$J,"&gt;="&amp;$AC24,Dataset!$J:$J,"&lt;"&amp;$AD24,Dataset!$AH:$AH,"bono corporativo",Dataset!$T:$T,"$",Dataset!$AC:$AC,"*AA*")</f>
        <v>0</v>
      </c>
      <c r="Z24" s="28">
        <f>SUMIFS(Dataset!$AA:$AA,Dataset!$F:$F,Resumen!Y$8,Dataset!$J:$J,"&gt;="&amp;$AC24,Dataset!$J:$J,"&lt;"&amp;$AD24,Dataset!$AH:$AH,"bono corporativo",Dataset!$T:$T,"$",Dataset!$AC:$AC,"*AA*")</f>
        <v>0</v>
      </c>
      <c r="AA24" s="27">
        <f>SUMIFS(Dataset!$AJ:$AJ,Dataset!$F:$F,Resumen!AA$8,Dataset!$J:$J,"&gt;="&amp;$AC24,Dataset!$J:$J,"&lt;"&amp;$AD24,Dataset!$AH:$AH,"bono corporativo",Dataset!$T:$T,"$",Dataset!$AC:$AC,"*AA*")</f>
        <v>0</v>
      </c>
      <c r="AB24" s="28">
        <f>SUMIFS(Dataset!$AA:$AA,Dataset!$F:$F,Resumen!AA$8,Dataset!$J:$J,"&gt;="&amp;$AC24,Dataset!$J:$J,"&lt;"&amp;$AD24,Dataset!$AH:$AH,"bono corporativo",Dataset!$T:$T,"$",Dataset!$AC:$AC,"*AA*")</f>
        <v>0</v>
      </c>
      <c r="AC24" s="22">
        <v>5</v>
      </c>
      <c r="AD24" s="22">
        <v>10</v>
      </c>
    </row>
    <row r="25" spans="2:34" ht="30" customHeight="1" x14ac:dyDescent="0.3">
      <c r="B25" s="159"/>
      <c r="C25" s="158"/>
      <c r="D25" s="31" t="s">
        <v>122</v>
      </c>
      <c r="E25" s="29">
        <f>SUMIFS(Dataset!$AJ:$AJ,Dataset!$F:$F,Resumen!E$8,Dataset!$J:$J,"&gt;="&amp;$AC25,Dataset!$J:$J,"&lt;"&amp;$AD25,Dataset!$AH:$AH,"bono corporativo",Dataset!$T:$T,"$",Dataset!$AC:$AC,"*AA*")</f>
        <v>0</v>
      </c>
      <c r="F25" s="30">
        <f>SUMIFS(Dataset!$AA:$AA,Dataset!$F:$F,Resumen!E$8,Dataset!$J:$J,"&gt;="&amp;$AC25,Dataset!$J:$J,"&lt;"&amp;$AD25,Dataset!$AH:$AH,"bono corporativo",Dataset!$T:$T,"$",Dataset!$AC:$AC,"*AA*")</f>
        <v>0</v>
      </c>
      <c r="G25" s="29">
        <f>SUMIFS(Dataset!$AJ:$AJ,Dataset!$F:$F,Resumen!G$8,Dataset!$J:$J,"&gt;="&amp;$AC25,Dataset!$J:$J,"&lt;"&amp;$AD25,Dataset!$AH:$AH,"bono corporativo",Dataset!$T:$T,"$",Dataset!$AC:$AC,"*AA*")</f>
        <v>0</v>
      </c>
      <c r="H25" s="30">
        <f>SUMIFS(Dataset!$AA:$AA,Dataset!$F:$F,Resumen!G$8,Dataset!$J:$J,"&gt;="&amp;$AC25,Dataset!$J:$J,"&lt;"&amp;$AD25,Dataset!$AH:$AH,"bono corporativo",Dataset!$T:$T,"$",Dataset!$AC:$AC,"*AA*")</f>
        <v>0</v>
      </c>
      <c r="I25" s="29">
        <f>SUMIFS(Dataset!$AJ:$AJ,Dataset!$F:$F,Resumen!I$8,Dataset!$J:$J,"&gt;="&amp;$AC25,Dataset!$J:$J,"&lt;"&amp;$AD25,Dataset!$AH:$AH,"bono corporativo",Dataset!$T:$T,"$",Dataset!$AC:$AC,"*AA*")</f>
        <v>0</v>
      </c>
      <c r="J25" s="30">
        <f>SUMIFS(Dataset!$AA:$AA,Dataset!$F:$F,Resumen!I$8,Dataset!$J:$J,"&gt;="&amp;$AC25,Dataset!$J:$J,"&lt;"&amp;$AD25,Dataset!$AH:$AH,"bono corporativo",Dataset!$T:$T,"$",Dataset!$AC:$AC,"*AA*")</f>
        <v>0</v>
      </c>
      <c r="K25" s="29">
        <f>SUMIFS(Dataset!$AJ:$AJ,Dataset!$F:$F,Resumen!K$8,Dataset!$J:$J,"&gt;="&amp;$AC25,Dataset!$J:$J,"&lt;"&amp;$AD25,Dataset!$AH:$AH,"bono corporativo",Dataset!$T:$T,"$",Dataset!$AC:$AC,"*AA*")</f>
        <v>0</v>
      </c>
      <c r="L25" s="30">
        <f>SUMIFS(Dataset!$AA:$AA,Dataset!$F:$F,Resumen!K$8,Dataset!$J:$J,"&gt;="&amp;$AC25,Dataset!$J:$J,"&lt;"&amp;$AD25,Dataset!$AH:$AH,"bono corporativo",Dataset!$T:$T,"$",Dataset!$AC:$AC,"*AA*")</f>
        <v>0</v>
      </c>
      <c r="M25" s="29">
        <f>SUMIFS(Dataset!$AJ:$AJ,Dataset!$F:$F,Resumen!M$8,Dataset!$J:$J,"&gt;="&amp;$AC25,Dataset!$J:$J,"&lt;"&amp;$AD25,Dataset!$AH:$AH,"bono corporativo",Dataset!$T:$T,"$",Dataset!$AC:$AC,"*AA*")</f>
        <v>0</v>
      </c>
      <c r="N25" s="30">
        <f>SUMIFS(Dataset!$AA:$AA,Dataset!$F:$F,Resumen!M$8,Dataset!$J:$J,"&gt;="&amp;$AC25,Dataset!$J:$J,"&lt;"&amp;$AD25,Dataset!$AH:$AH,"bono corporativo",Dataset!$T:$T,"$",Dataset!$AC:$AC,"*AA*")</f>
        <v>0</v>
      </c>
      <c r="O25" s="29">
        <f>SUMIFS(Dataset!$AJ:$AJ,Dataset!$F:$F,Resumen!O$8,Dataset!$J:$J,"&gt;="&amp;$AC25,Dataset!$J:$J,"&lt;"&amp;$AD25,Dataset!$AH:$AH,"bono corporativo",Dataset!$T:$T,"$",Dataset!$AC:$AC,"*AA*")</f>
        <v>0</v>
      </c>
      <c r="P25" s="30">
        <f>SUMIFS(Dataset!$AA:$AA,Dataset!$F:$F,Resumen!O$8,Dataset!$J:$J,"&gt;="&amp;$AC25,Dataset!$J:$J,"&lt;"&amp;$AD25,Dataset!$AH:$AH,"bono corporativo",Dataset!$T:$T,"$",Dataset!$AC:$AC,"*AA*")</f>
        <v>0</v>
      </c>
      <c r="Q25" s="29">
        <f>SUMIFS(Dataset!$AJ:$AJ,Dataset!$F:$F,Resumen!Q$8,Dataset!$J:$J,"&gt;="&amp;$AC25,Dataset!$J:$J,"&lt;"&amp;$AD25,Dataset!$AH:$AH,"bono corporativo",Dataset!$T:$T,"$",Dataset!$AC:$AC,"*AA*")</f>
        <v>0</v>
      </c>
      <c r="R25" s="30">
        <f>SUMIFS(Dataset!$AA:$AA,Dataset!$F:$F,Resumen!Q$8,Dataset!$J:$J,"&gt;="&amp;$AC25,Dataset!$J:$J,"&lt;"&amp;$AD25,Dataset!$AH:$AH,"bono corporativo",Dataset!$T:$T,"$",Dataset!$AC:$AC,"*AA*")</f>
        <v>0</v>
      </c>
      <c r="S25" s="29">
        <f>SUMIFS(Dataset!$AJ:$AJ,Dataset!$F:$F,Resumen!S$8,Dataset!$J:$J,"&gt;="&amp;$AC25,Dataset!$J:$J,"&lt;"&amp;$AD25,Dataset!$AH:$AH,"bono corporativo",Dataset!$T:$T,"$",Dataset!$AC:$AC,"*AA*")</f>
        <v>0</v>
      </c>
      <c r="T25" s="30">
        <f>SUMIFS(Dataset!$AA:$AA,Dataset!$F:$F,Resumen!S$8,Dataset!$J:$J,"&gt;="&amp;$AC25,Dataset!$J:$J,"&lt;"&amp;$AD25,Dataset!$AH:$AH,"bono corporativo",Dataset!$T:$T,"$",Dataset!$AC:$AC,"*AA*")</f>
        <v>0</v>
      </c>
      <c r="U25" s="29">
        <f>SUMIFS(Dataset!$AJ:$AJ,Dataset!$F:$F,Resumen!U$8,Dataset!$J:$J,"&gt;="&amp;$AC25,Dataset!$J:$J,"&lt;"&amp;$AD25,Dataset!$AH:$AH,"bono corporativo",Dataset!$T:$T,"$",Dataset!$AC:$AC,"*AA*")</f>
        <v>0</v>
      </c>
      <c r="V25" s="30">
        <f>SUMIFS(Dataset!$AA:$AA,Dataset!$F:$F,Resumen!U$8,Dataset!$J:$J,"&gt;="&amp;$AC25,Dataset!$J:$J,"&lt;"&amp;$AD25,Dataset!$AH:$AH,"bono corporativo",Dataset!$T:$T,"$",Dataset!$AC:$AC,"*AA*")</f>
        <v>0</v>
      </c>
      <c r="W25" s="29">
        <f>SUMIFS(Dataset!$AJ:$AJ,Dataset!$F:$F,Resumen!W$8,Dataset!$J:$J,"&gt;="&amp;$AC25,Dataset!$J:$J,"&lt;"&amp;$AD25,Dataset!$AH:$AH,"bono corporativo",Dataset!$T:$T,"$",Dataset!$AC:$AC,"*AA*")</f>
        <v>0</v>
      </c>
      <c r="X25" s="30">
        <f>SUMIFS(Dataset!$AA:$AA,Dataset!$F:$F,Resumen!W$8,Dataset!$J:$J,"&gt;="&amp;$AC25,Dataset!$J:$J,"&lt;"&amp;$AD25,Dataset!$AH:$AH,"bono corporativo",Dataset!$T:$T,"$",Dataset!$AC:$AC,"*AA*")</f>
        <v>0</v>
      </c>
      <c r="Y25" s="29">
        <f>SUMIFS(Dataset!$AJ:$AJ,Dataset!$F:$F,Resumen!Y$8,Dataset!$J:$J,"&gt;="&amp;$AC25,Dataset!$J:$J,"&lt;"&amp;$AD25,Dataset!$AH:$AH,"bono corporativo",Dataset!$T:$T,"$",Dataset!$AC:$AC,"*AA*")</f>
        <v>0</v>
      </c>
      <c r="Z25" s="30">
        <f>SUMIFS(Dataset!$AA:$AA,Dataset!$F:$F,Resumen!Y$8,Dataset!$J:$J,"&gt;="&amp;$AC25,Dataset!$J:$J,"&lt;"&amp;$AD25,Dataset!$AH:$AH,"bono corporativo",Dataset!$T:$T,"$",Dataset!$AC:$AC,"*AA*")</f>
        <v>0</v>
      </c>
      <c r="AA25" s="29">
        <f>SUMIFS(Dataset!$AJ:$AJ,Dataset!$F:$F,Resumen!AA$8,Dataset!$J:$J,"&gt;="&amp;$AC25,Dataset!$J:$J,"&lt;"&amp;$AD25,Dataset!$AH:$AH,"bono corporativo",Dataset!$T:$T,"$",Dataset!$AC:$AC,"*AA*")</f>
        <v>0</v>
      </c>
      <c r="AB25" s="30">
        <f>SUMIFS(Dataset!$AA:$AA,Dataset!$F:$F,Resumen!AA$8,Dataset!$J:$J,"&gt;="&amp;$AC25,Dataset!$J:$J,"&lt;"&amp;$AD25,Dataset!$AH:$AH,"bono corporativo",Dataset!$T:$T,"$",Dataset!$AC:$AC,"*AA*")</f>
        <v>0</v>
      </c>
      <c r="AC25" s="22">
        <v>10</v>
      </c>
      <c r="AD25" s="22">
        <v>100</v>
      </c>
    </row>
    <row r="26" spans="2:34" ht="30" customHeight="1" x14ac:dyDescent="0.3">
      <c r="B26" s="159"/>
      <c r="C26" s="161" t="s">
        <v>126</v>
      </c>
      <c r="D26" s="32" t="s">
        <v>119</v>
      </c>
      <c r="E26" s="33">
        <f>SUMIFS(Dataset!$AJ:$AJ,Dataset!$F:$F,Resumen!E$8,Dataset!$J:$J,"&gt;="&amp;$AC26,Dataset!$J:$J,"&lt;"&amp;$AD26,Dataset!$AH:$AH,"bono corporativo",Dataset!$T:$T,"$",Dataset!$AC:$AC,"&lt;&gt;*AA*")</f>
        <v>0</v>
      </c>
      <c r="F26" s="34">
        <f>SUMIFS(Dataset!$AA:$AA,Dataset!$F:$F,Resumen!E$8,Dataset!$J:$J,"&gt;="&amp;$AC26,Dataset!$J:$J,"&lt;"&amp;$AD26,Dataset!$AH:$AH,"bono corporativo",Dataset!$T:$T,"$",Dataset!$AC:$AC,"&lt;&gt;*AA*")</f>
        <v>0</v>
      </c>
      <c r="G26" s="33">
        <f>SUMIFS(Dataset!$AJ:$AJ,Dataset!$F:$F,Resumen!G$8,Dataset!$J:$J,"&gt;="&amp;$AC26,Dataset!$J:$J,"&lt;"&amp;$AD26,Dataset!$AH:$AH,"bono corporativo",Dataset!$T:$T,"$",Dataset!$AC:$AC,"&lt;&gt;*AA*")</f>
        <v>0</v>
      </c>
      <c r="H26" s="34">
        <f>SUMIFS(Dataset!$AA:$AA,Dataset!$F:$F,Resumen!G$8,Dataset!$J:$J,"&gt;="&amp;$AC26,Dataset!$J:$J,"&lt;"&amp;$AD26,Dataset!$AH:$AH,"bono corporativo",Dataset!$T:$T,"$",Dataset!$AC:$AC,"&lt;&gt;*AA*")</f>
        <v>0</v>
      </c>
      <c r="I26" s="33">
        <f>SUMIFS(Dataset!$AJ:$AJ,Dataset!$F:$F,Resumen!I$8,Dataset!$J:$J,"&gt;="&amp;$AC26,Dataset!$J:$J,"&lt;"&amp;$AD26,Dataset!$AH:$AH,"bono corporativo",Dataset!$T:$T,"$",Dataset!$AC:$AC,"&lt;&gt;*AA*")</f>
        <v>0</v>
      </c>
      <c r="J26" s="34">
        <f>SUMIFS(Dataset!$AA:$AA,Dataset!$F:$F,Resumen!I$8,Dataset!$J:$J,"&gt;="&amp;$AC26,Dataset!$J:$J,"&lt;"&amp;$AD26,Dataset!$AH:$AH,"bono corporativo",Dataset!$T:$T,"$",Dataset!$AC:$AC,"&lt;&gt;*AA*")</f>
        <v>0</v>
      </c>
      <c r="K26" s="33">
        <f>SUMIFS(Dataset!$AJ:$AJ,Dataset!$F:$F,Resumen!K$8,Dataset!$J:$J,"&gt;="&amp;$AC26,Dataset!$J:$J,"&lt;"&amp;$AD26,Dataset!$AH:$AH,"bono corporativo",Dataset!$T:$T,"$",Dataset!$AC:$AC,"&lt;&gt;*AA*")</f>
        <v>0</v>
      </c>
      <c r="L26" s="34">
        <f>SUMIFS(Dataset!$AA:$AA,Dataset!$F:$F,Resumen!K$8,Dataset!$J:$J,"&gt;="&amp;$AC26,Dataset!$J:$J,"&lt;"&amp;$AD26,Dataset!$AH:$AH,"bono corporativo",Dataset!$T:$T,"$",Dataset!$AC:$AC,"&lt;&gt;*AA*")</f>
        <v>0</v>
      </c>
      <c r="M26" s="33">
        <f>SUMIFS(Dataset!$AJ:$AJ,Dataset!$F:$F,Resumen!M$8,Dataset!$J:$J,"&gt;="&amp;$AC26,Dataset!$J:$J,"&lt;"&amp;$AD26,Dataset!$AH:$AH,"bono corporativo",Dataset!$T:$T,"$",Dataset!$AC:$AC,"&lt;&gt;*AA*")</f>
        <v>-4.9711461436118065E-3</v>
      </c>
      <c r="N26" s="34">
        <f>SUMIFS(Dataset!$AA:$AA,Dataset!$F:$F,Resumen!M$8,Dataset!$J:$J,"&gt;="&amp;$AC26,Dataset!$J:$J,"&lt;"&amp;$AD26,Dataset!$AH:$AH,"bono corporativo",Dataset!$T:$T,"$",Dataset!$AC:$AC,"&lt;&gt;*AA*")</f>
        <v>3.5279391848200706E-3</v>
      </c>
      <c r="O26" s="33">
        <f>SUMIFS(Dataset!$AJ:$AJ,Dataset!$F:$F,Resumen!O$8,Dataset!$J:$J,"&gt;="&amp;$AC26,Dataset!$J:$J,"&lt;"&amp;$AD26,Dataset!$AH:$AH,"bono corporativo",Dataset!$T:$T,"$",Dataset!$AC:$AC,"&lt;&gt;*AA*")</f>
        <v>0</v>
      </c>
      <c r="P26" s="34">
        <f>SUMIFS(Dataset!$AA:$AA,Dataset!$F:$F,Resumen!O$8,Dataset!$J:$J,"&gt;="&amp;$AC26,Dataset!$J:$J,"&lt;"&amp;$AD26,Dataset!$AH:$AH,"bono corporativo",Dataset!$T:$T,"$",Dataset!$AC:$AC,"&lt;&gt;*AA*")</f>
        <v>0</v>
      </c>
      <c r="Q26" s="33">
        <f>SUMIFS(Dataset!$AJ:$AJ,Dataset!$F:$F,Resumen!Q$8,Dataset!$J:$J,"&gt;="&amp;$AC26,Dataset!$J:$J,"&lt;"&amp;$AD26,Dataset!$AH:$AH,"bono corporativo",Dataset!$T:$T,"$",Dataset!$AC:$AC,"&lt;&gt;*AA*")</f>
        <v>0</v>
      </c>
      <c r="R26" s="34">
        <f>SUMIFS(Dataset!$AA:$AA,Dataset!$F:$F,Resumen!Q$8,Dataset!$J:$J,"&gt;="&amp;$AC26,Dataset!$J:$J,"&lt;"&amp;$AD26,Dataset!$AH:$AH,"bono corporativo",Dataset!$T:$T,"$",Dataset!$AC:$AC,"&lt;&gt;*AA*")</f>
        <v>0</v>
      </c>
      <c r="S26" s="33">
        <f>SUMIFS(Dataset!$AJ:$AJ,Dataset!$F:$F,Resumen!S$8,Dataset!$J:$J,"&gt;="&amp;$AC26,Dataset!$J:$J,"&lt;"&amp;$AD26,Dataset!$AH:$AH,"bono corporativo",Dataset!$T:$T,"$",Dataset!$AC:$AC,"&lt;&gt;*AA*")</f>
        <v>0</v>
      </c>
      <c r="T26" s="34">
        <f>SUMIFS(Dataset!$AA:$AA,Dataset!$F:$F,Resumen!S$8,Dataset!$J:$J,"&gt;="&amp;$AC26,Dataset!$J:$J,"&lt;"&amp;$AD26,Dataset!$AH:$AH,"bono corporativo",Dataset!$T:$T,"$",Dataset!$AC:$AC,"&lt;&gt;*AA*")</f>
        <v>0</v>
      </c>
      <c r="U26" s="33">
        <f>SUMIFS(Dataset!$AJ:$AJ,Dataset!$F:$F,Resumen!U$8,Dataset!$J:$J,"&gt;="&amp;$AC26,Dataset!$J:$J,"&lt;"&amp;$AD26,Dataset!$AH:$AH,"bono corporativo",Dataset!$T:$T,"$",Dataset!$AC:$AC,"&lt;&gt;*AA*")</f>
        <v>0</v>
      </c>
      <c r="V26" s="34">
        <f>SUMIFS(Dataset!$AA:$AA,Dataset!$F:$F,Resumen!U$8,Dataset!$J:$J,"&gt;="&amp;$AC26,Dataset!$J:$J,"&lt;"&amp;$AD26,Dataset!$AH:$AH,"bono corporativo",Dataset!$T:$T,"$",Dataset!$AC:$AC,"&lt;&gt;*AA*")</f>
        <v>0</v>
      </c>
      <c r="W26" s="33">
        <f>SUMIFS(Dataset!$AJ:$AJ,Dataset!$F:$F,Resumen!W$8,Dataset!$J:$J,"&gt;="&amp;$AC26,Dataset!$J:$J,"&lt;"&amp;$AD26,Dataset!$AH:$AH,"bono corporativo",Dataset!$T:$T,"$",Dataset!$AC:$AC,"&lt;&gt;*AA*")</f>
        <v>0</v>
      </c>
      <c r="X26" s="34">
        <f>SUMIFS(Dataset!$AA:$AA,Dataset!$F:$F,Resumen!W$8,Dataset!$J:$J,"&gt;="&amp;$AC26,Dataset!$J:$J,"&lt;"&amp;$AD26,Dataset!$AH:$AH,"bono corporativo",Dataset!$T:$T,"$",Dataset!$AC:$AC,"&lt;&gt;*AA*")</f>
        <v>0</v>
      </c>
      <c r="Y26" s="33">
        <f>SUMIFS(Dataset!$AJ:$AJ,Dataset!$F:$F,Resumen!Y$8,Dataset!$J:$J,"&gt;="&amp;$AC26,Dataset!$J:$J,"&lt;"&amp;$AD26,Dataset!$AH:$AH,"bono corporativo",Dataset!$T:$T,"$",Dataset!$AC:$AC,"&lt;&gt;*AA*")</f>
        <v>0</v>
      </c>
      <c r="Z26" s="34">
        <f>SUMIFS(Dataset!$AA:$AA,Dataset!$F:$F,Resumen!Y$8,Dataset!$J:$J,"&gt;="&amp;$AC26,Dataset!$J:$J,"&lt;"&amp;$AD26,Dataset!$AH:$AH,"bono corporativo",Dataset!$T:$T,"$",Dataset!$AC:$AC,"&lt;&gt;*AA*")</f>
        <v>0</v>
      </c>
      <c r="AA26" s="33">
        <f>SUMIFS(Dataset!$AJ:$AJ,Dataset!$F:$F,Resumen!AA$8,Dataset!$J:$J,"&gt;="&amp;$AC26,Dataset!$J:$J,"&lt;"&amp;$AD26,Dataset!$AH:$AH,"bono corporativo",Dataset!$T:$T,"$",Dataset!$AC:$AC,"&lt;&gt;*AA*")</f>
        <v>0</v>
      </c>
      <c r="AB26" s="34">
        <f>SUMIFS(Dataset!$AA:$AA,Dataset!$F:$F,Resumen!AA$8,Dataset!$J:$J,"&gt;="&amp;$AC26,Dataset!$J:$J,"&lt;"&amp;$AD26,Dataset!$AH:$AH,"bono corporativo",Dataset!$T:$T,"$",Dataset!$AC:$AC,"&lt;&gt;*AA*")</f>
        <v>0</v>
      </c>
      <c r="AC26" s="22">
        <v>0</v>
      </c>
      <c r="AD26" s="22">
        <v>3</v>
      </c>
    </row>
    <row r="27" spans="2:34" ht="30" customHeight="1" x14ac:dyDescent="0.3">
      <c r="B27" s="159"/>
      <c r="C27" s="158"/>
      <c r="D27" s="31" t="s">
        <v>120</v>
      </c>
      <c r="E27" s="27">
        <f>SUMIFS(Dataset!$AJ:$AJ,Dataset!$F:$F,Resumen!E$8,Dataset!$J:$J,"&gt;="&amp;$AC27,Dataset!$J:$J,"&lt;"&amp;$AD27,Dataset!$AH:$AH,"bono corporativo",Dataset!$T:$T,"$",Dataset!$AC:$AC,"&lt;&gt;*AA*")</f>
        <v>6.4852388155642662E-3</v>
      </c>
      <c r="F27" s="28">
        <f>SUMIFS(Dataset!$AA:$AA,Dataset!$F:$F,Resumen!E$8,Dataset!$J:$J,"&gt;="&amp;$AC27,Dataset!$J:$J,"&lt;"&amp;$AD27,Dataset!$AH:$AH,"bono corporativo",Dataset!$T:$T,"$",Dataset!$AC:$AC,"&lt;&gt;*AA*")</f>
        <v>-2.0690173445416407E-3</v>
      </c>
      <c r="G27" s="27">
        <f>SUMIFS(Dataset!$AJ:$AJ,Dataset!$F:$F,Resumen!G$8,Dataset!$J:$J,"&gt;="&amp;$AC27,Dataset!$J:$J,"&lt;"&amp;$AD27,Dataset!$AH:$AH,"bono corporativo",Dataset!$T:$T,"$",Dataset!$AC:$AC,"&lt;&gt;*AA*")</f>
        <v>0</v>
      </c>
      <c r="H27" s="28">
        <f>SUMIFS(Dataset!$AA:$AA,Dataset!$F:$F,Resumen!G$8,Dataset!$J:$J,"&gt;="&amp;$AC27,Dataset!$J:$J,"&lt;"&amp;$AD27,Dataset!$AH:$AH,"bono corporativo",Dataset!$T:$T,"$",Dataset!$AC:$AC,"&lt;&gt;*AA*")</f>
        <v>0</v>
      </c>
      <c r="I27" s="27">
        <f>SUMIFS(Dataset!$AJ:$AJ,Dataset!$F:$F,Resumen!I$8,Dataset!$J:$J,"&gt;="&amp;$AC27,Dataset!$J:$J,"&lt;"&amp;$AD27,Dataset!$AH:$AH,"bono corporativo",Dataset!$T:$T,"$",Dataset!$AC:$AC,"&lt;&gt;*AA*")</f>
        <v>0</v>
      </c>
      <c r="J27" s="28">
        <f>SUMIFS(Dataset!$AA:$AA,Dataset!$F:$F,Resumen!I$8,Dataset!$J:$J,"&gt;="&amp;$AC27,Dataset!$J:$J,"&lt;"&amp;$AD27,Dataset!$AH:$AH,"bono corporativo",Dataset!$T:$T,"$",Dataset!$AC:$AC,"&lt;&gt;*AA*")</f>
        <v>0</v>
      </c>
      <c r="K27" s="27">
        <f>SUMIFS(Dataset!$AJ:$AJ,Dataset!$F:$F,Resumen!K$8,Dataset!$J:$J,"&gt;="&amp;$AC27,Dataset!$J:$J,"&lt;"&amp;$AD27,Dataset!$AH:$AH,"bono corporativo",Dataset!$T:$T,"$",Dataset!$AC:$AC,"&lt;&gt;*AA*")</f>
        <v>0</v>
      </c>
      <c r="L27" s="28">
        <f>SUMIFS(Dataset!$AA:$AA,Dataset!$F:$F,Resumen!K$8,Dataset!$J:$J,"&gt;="&amp;$AC27,Dataset!$J:$J,"&lt;"&amp;$AD27,Dataset!$AH:$AH,"bono corporativo",Dataset!$T:$T,"$",Dataset!$AC:$AC,"&lt;&gt;*AA*")</f>
        <v>0</v>
      </c>
      <c r="M27" s="27">
        <f>SUMIFS(Dataset!$AJ:$AJ,Dataset!$F:$F,Resumen!M$8,Dataset!$J:$J,"&gt;="&amp;$AC27,Dataset!$J:$J,"&lt;"&amp;$AD27,Dataset!$AH:$AH,"bono corporativo",Dataset!$T:$T,"$",Dataset!$AC:$AC,"&lt;&gt;*AA*")</f>
        <v>-1.2141528874829379E-2</v>
      </c>
      <c r="N27" s="28">
        <f>SUMIFS(Dataset!$AA:$AA,Dataset!$F:$F,Resumen!M$8,Dataset!$J:$J,"&gt;="&amp;$AC27,Dataset!$J:$J,"&lt;"&amp;$AD27,Dataset!$AH:$AH,"bono corporativo",Dataset!$T:$T,"$",Dataset!$AC:$AC,"&lt;&gt;*AA*")</f>
        <v>2.2654398639248983E-2</v>
      </c>
      <c r="O27" s="27">
        <f>SUMIFS(Dataset!$AJ:$AJ,Dataset!$F:$F,Resumen!O$8,Dataset!$J:$J,"&gt;="&amp;$AC27,Dataset!$J:$J,"&lt;"&amp;$AD27,Dataset!$AH:$AH,"bono corporativo",Dataset!$T:$T,"$",Dataset!$AC:$AC,"&lt;&gt;*AA*")</f>
        <v>0</v>
      </c>
      <c r="P27" s="28">
        <f>SUMIFS(Dataset!$AA:$AA,Dataset!$F:$F,Resumen!O$8,Dataset!$J:$J,"&gt;="&amp;$AC27,Dataset!$J:$J,"&lt;"&amp;$AD27,Dataset!$AH:$AH,"bono corporativo",Dataset!$T:$T,"$",Dataset!$AC:$AC,"&lt;&gt;*AA*")</f>
        <v>0</v>
      </c>
      <c r="Q27" s="27">
        <f>SUMIFS(Dataset!$AJ:$AJ,Dataset!$F:$F,Resumen!Q$8,Dataset!$J:$J,"&gt;="&amp;$AC27,Dataset!$J:$J,"&lt;"&amp;$AD27,Dataset!$AH:$AH,"bono corporativo",Dataset!$T:$T,"$",Dataset!$AC:$AC,"&lt;&gt;*AA*")</f>
        <v>0</v>
      </c>
      <c r="R27" s="28">
        <f>SUMIFS(Dataset!$AA:$AA,Dataset!$F:$F,Resumen!Q$8,Dataset!$J:$J,"&gt;="&amp;$AC27,Dataset!$J:$J,"&lt;"&amp;$AD27,Dataset!$AH:$AH,"bono corporativo",Dataset!$T:$T,"$",Dataset!$AC:$AC,"&lt;&gt;*AA*")</f>
        <v>0</v>
      </c>
      <c r="S27" s="27">
        <f>SUMIFS(Dataset!$AJ:$AJ,Dataset!$F:$F,Resumen!S$8,Dataset!$J:$J,"&gt;="&amp;$AC27,Dataset!$J:$J,"&lt;"&amp;$AD27,Dataset!$AH:$AH,"bono corporativo",Dataset!$T:$T,"$",Dataset!$AC:$AC,"&lt;&gt;*AA*")</f>
        <v>0</v>
      </c>
      <c r="T27" s="28">
        <f>SUMIFS(Dataset!$AA:$AA,Dataset!$F:$F,Resumen!S$8,Dataset!$J:$J,"&gt;="&amp;$AC27,Dataset!$J:$J,"&lt;"&amp;$AD27,Dataset!$AH:$AH,"bono corporativo",Dataset!$T:$T,"$",Dataset!$AC:$AC,"&lt;&gt;*AA*")</f>
        <v>0</v>
      </c>
      <c r="U27" s="27">
        <f>SUMIFS(Dataset!$AJ:$AJ,Dataset!$F:$F,Resumen!U$8,Dataset!$J:$J,"&gt;="&amp;$AC27,Dataset!$J:$J,"&lt;"&amp;$AD27,Dataset!$AH:$AH,"bono corporativo",Dataset!$T:$T,"$",Dataset!$AC:$AC,"&lt;&gt;*AA*")</f>
        <v>0</v>
      </c>
      <c r="V27" s="28">
        <f>SUMIFS(Dataset!$AA:$AA,Dataset!$F:$F,Resumen!U$8,Dataset!$J:$J,"&gt;="&amp;$AC27,Dataset!$J:$J,"&lt;"&amp;$AD27,Dataset!$AH:$AH,"bono corporativo",Dataset!$T:$T,"$",Dataset!$AC:$AC,"&lt;&gt;*AA*")</f>
        <v>0</v>
      </c>
      <c r="W27" s="27">
        <f>SUMIFS(Dataset!$AJ:$AJ,Dataset!$F:$F,Resumen!W$8,Dataset!$J:$J,"&gt;="&amp;$AC27,Dataset!$J:$J,"&lt;"&amp;$AD27,Dataset!$AH:$AH,"bono corporativo",Dataset!$T:$T,"$",Dataset!$AC:$AC,"&lt;&gt;*AA*")</f>
        <v>0</v>
      </c>
      <c r="X27" s="28">
        <f>SUMIFS(Dataset!$AA:$AA,Dataset!$F:$F,Resumen!W$8,Dataset!$J:$J,"&gt;="&amp;$AC27,Dataset!$J:$J,"&lt;"&amp;$AD27,Dataset!$AH:$AH,"bono corporativo",Dataset!$T:$T,"$",Dataset!$AC:$AC,"&lt;&gt;*AA*")</f>
        <v>0</v>
      </c>
      <c r="Y27" s="27">
        <f>SUMIFS(Dataset!$AJ:$AJ,Dataset!$F:$F,Resumen!Y$8,Dataset!$J:$J,"&gt;="&amp;$AC27,Dataset!$J:$J,"&lt;"&amp;$AD27,Dataset!$AH:$AH,"bono corporativo",Dataset!$T:$T,"$",Dataset!$AC:$AC,"&lt;&gt;*AA*")</f>
        <v>0</v>
      </c>
      <c r="Z27" s="28">
        <f>SUMIFS(Dataset!$AA:$AA,Dataset!$F:$F,Resumen!Y$8,Dataset!$J:$J,"&gt;="&amp;$AC27,Dataset!$J:$J,"&lt;"&amp;$AD27,Dataset!$AH:$AH,"bono corporativo",Dataset!$T:$T,"$",Dataset!$AC:$AC,"&lt;&gt;*AA*")</f>
        <v>0</v>
      </c>
      <c r="AA27" s="27">
        <f>SUMIFS(Dataset!$AJ:$AJ,Dataset!$F:$F,Resumen!AA$8,Dataset!$J:$J,"&gt;="&amp;$AC27,Dataset!$J:$J,"&lt;"&amp;$AD27,Dataset!$AH:$AH,"bono corporativo",Dataset!$T:$T,"$",Dataset!$AC:$AC,"&lt;&gt;*AA*")</f>
        <v>0</v>
      </c>
      <c r="AB27" s="28">
        <f>SUMIFS(Dataset!$AA:$AA,Dataset!$F:$F,Resumen!AA$8,Dataset!$J:$J,"&gt;="&amp;$AC27,Dataset!$J:$J,"&lt;"&amp;$AD27,Dataset!$AH:$AH,"bono corporativo",Dataset!$T:$T,"$",Dataset!$AC:$AC,"&lt;&gt;*AA*")</f>
        <v>0</v>
      </c>
      <c r="AC27" s="22">
        <v>3</v>
      </c>
      <c r="AD27" s="22">
        <v>5</v>
      </c>
    </row>
    <row r="28" spans="2:34" ht="30" customHeight="1" x14ac:dyDescent="0.3">
      <c r="B28" s="159"/>
      <c r="C28" s="158"/>
      <c r="D28" s="31" t="s">
        <v>121</v>
      </c>
      <c r="E28" s="27">
        <f>SUMIFS(Dataset!$AJ:$AJ,Dataset!$F:$F,Resumen!E$8,Dataset!$J:$J,"&gt;="&amp;$AC28,Dataset!$J:$J,"&lt;"&amp;$AD28,Dataset!$AH:$AH,"bono corporativo",Dataset!$T:$T,"$",Dataset!$AC:$AC,"&lt;&gt;*AA*")</f>
        <v>0</v>
      </c>
      <c r="F28" s="28">
        <f>SUMIFS(Dataset!$AA:$AA,Dataset!$F:$F,Resumen!E$8,Dataset!$J:$J,"&gt;="&amp;$AC28,Dataset!$J:$J,"&lt;"&amp;$AD28,Dataset!$AH:$AH,"bono corporativo",Dataset!$T:$T,"$",Dataset!$AC:$AC,"&lt;&gt;*AA*")</f>
        <v>0</v>
      </c>
      <c r="G28" s="27">
        <f>SUMIFS(Dataset!$AJ:$AJ,Dataset!$F:$F,Resumen!G$8,Dataset!$J:$J,"&gt;="&amp;$AC28,Dataset!$J:$J,"&lt;"&amp;$AD28,Dataset!$AH:$AH,"bono corporativo",Dataset!$T:$T,"$",Dataset!$AC:$AC,"&lt;&gt;*AA*")</f>
        <v>0</v>
      </c>
      <c r="H28" s="28">
        <f>SUMIFS(Dataset!$AA:$AA,Dataset!$F:$F,Resumen!G$8,Dataset!$J:$J,"&gt;="&amp;$AC28,Dataset!$J:$J,"&lt;"&amp;$AD28,Dataset!$AH:$AH,"bono corporativo",Dataset!$T:$T,"$",Dataset!$AC:$AC,"&lt;&gt;*AA*")</f>
        <v>0</v>
      </c>
      <c r="I28" s="27">
        <f>SUMIFS(Dataset!$AJ:$AJ,Dataset!$F:$F,Resumen!I$8,Dataset!$J:$J,"&gt;="&amp;$AC28,Dataset!$J:$J,"&lt;"&amp;$AD28,Dataset!$AH:$AH,"bono corporativo",Dataset!$T:$T,"$",Dataset!$AC:$AC,"&lt;&gt;*AA*")</f>
        <v>0</v>
      </c>
      <c r="J28" s="28">
        <f>SUMIFS(Dataset!$AA:$AA,Dataset!$F:$F,Resumen!I$8,Dataset!$J:$J,"&gt;="&amp;$AC28,Dataset!$J:$J,"&lt;"&amp;$AD28,Dataset!$AH:$AH,"bono corporativo",Dataset!$T:$T,"$",Dataset!$AC:$AC,"&lt;&gt;*AA*")</f>
        <v>0</v>
      </c>
      <c r="K28" s="27">
        <f>SUMIFS(Dataset!$AJ:$AJ,Dataset!$F:$F,Resumen!K$8,Dataset!$J:$J,"&gt;="&amp;$AC28,Dataset!$J:$J,"&lt;"&amp;$AD28,Dataset!$AH:$AH,"bono corporativo",Dataset!$T:$T,"$",Dataset!$AC:$AC,"&lt;&gt;*AA*")</f>
        <v>0</v>
      </c>
      <c r="L28" s="28">
        <f>SUMIFS(Dataset!$AA:$AA,Dataset!$F:$F,Resumen!K$8,Dataset!$J:$J,"&gt;="&amp;$AC28,Dataset!$J:$J,"&lt;"&amp;$AD28,Dataset!$AH:$AH,"bono corporativo",Dataset!$T:$T,"$",Dataset!$AC:$AC,"&lt;&gt;*AA*")</f>
        <v>0</v>
      </c>
      <c r="M28" s="27">
        <f>SUMIFS(Dataset!$AJ:$AJ,Dataset!$F:$F,Resumen!M$8,Dataset!$J:$J,"&gt;="&amp;$AC28,Dataset!$J:$J,"&lt;"&amp;$AD28,Dataset!$AH:$AH,"bono corporativo",Dataset!$T:$T,"$",Dataset!$AC:$AC,"&lt;&gt;*AA*")</f>
        <v>0</v>
      </c>
      <c r="N28" s="28">
        <f>SUMIFS(Dataset!$AA:$AA,Dataset!$F:$F,Resumen!M$8,Dataset!$J:$J,"&gt;="&amp;$AC28,Dataset!$J:$J,"&lt;"&amp;$AD28,Dataset!$AH:$AH,"bono corporativo",Dataset!$T:$T,"$",Dataset!$AC:$AC,"&lt;&gt;*AA*")</f>
        <v>0</v>
      </c>
      <c r="O28" s="27">
        <f>SUMIFS(Dataset!$AJ:$AJ,Dataset!$F:$F,Resumen!O$8,Dataset!$J:$J,"&gt;="&amp;$AC28,Dataset!$J:$J,"&lt;"&amp;$AD28,Dataset!$AH:$AH,"bono corporativo",Dataset!$T:$T,"$",Dataset!$AC:$AC,"&lt;&gt;*AA*")</f>
        <v>0</v>
      </c>
      <c r="P28" s="28">
        <f>SUMIFS(Dataset!$AA:$AA,Dataset!$F:$F,Resumen!O$8,Dataset!$J:$J,"&gt;="&amp;$AC28,Dataset!$J:$J,"&lt;"&amp;$AD28,Dataset!$AH:$AH,"bono corporativo",Dataset!$T:$T,"$",Dataset!$AC:$AC,"&lt;&gt;*AA*")</f>
        <v>0</v>
      </c>
      <c r="Q28" s="27">
        <f>SUMIFS(Dataset!$AJ:$AJ,Dataset!$F:$F,Resumen!Q$8,Dataset!$J:$J,"&gt;="&amp;$AC28,Dataset!$J:$J,"&lt;"&amp;$AD28,Dataset!$AH:$AH,"bono corporativo",Dataset!$T:$T,"$",Dataset!$AC:$AC,"&lt;&gt;*AA*")</f>
        <v>0</v>
      </c>
      <c r="R28" s="28">
        <f>SUMIFS(Dataset!$AA:$AA,Dataset!$F:$F,Resumen!Q$8,Dataset!$J:$J,"&gt;="&amp;$AC28,Dataset!$J:$J,"&lt;"&amp;$AD28,Dataset!$AH:$AH,"bono corporativo",Dataset!$T:$T,"$",Dataset!$AC:$AC,"&lt;&gt;*AA*")</f>
        <v>0</v>
      </c>
      <c r="S28" s="27">
        <f>SUMIFS(Dataset!$AJ:$AJ,Dataset!$F:$F,Resumen!S$8,Dataset!$J:$J,"&gt;="&amp;$AC28,Dataset!$J:$J,"&lt;"&amp;$AD28,Dataset!$AH:$AH,"bono corporativo",Dataset!$T:$T,"$",Dataset!$AC:$AC,"&lt;&gt;*AA*")</f>
        <v>0</v>
      </c>
      <c r="T28" s="28">
        <f>SUMIFS(Dataset!$AA:$AA,Dataset!$F:$F,Resumen!S$8,Dataset!$J:$J,"&gt;="&amp;$AC28,Dataset!$J:$J,"&lt;"&amp;$AD28,Dataset!$AH:$AH,"bono corporativo",Dataset!$T:$T,"$",Dataset!$AC:$AC,"&lt;&gt;*AA*")</f>
        <v>0</v>
      </c>
      <c r="U28" s="27">
        <f>SUMIFS(Dataset!$AJ:$AJ,Dataset!$F:$F,Resumen!U$8,Dataset!$J:$J,"&gt;="&amp;$AC28,Dataset!$J:$J,"&lt;"&amp;$AD28,Dataset!$AH:$AH,"bono corporativo",Dataset!$T:$T,"$",Dataset!$AC:$AC,"&lt;&gt;*AA*")</f>
        <v>0</v>
      </c>
      <c r="V28" s="28">
        <f>SUMIFS(Dataset!$AA:$AA,Dataset!$F:$F,Resumen!U$8,Dataset!$J:$J,"&gt;="&amp;$AC28,Dataset!$J:$J,"&lt;"&amp;$AD28,Dataset!$AH:$AH,"bono corporativo",Dataset!$T:$T,"$",Dataset!$AC:$AC,"&lt;&gt;*AA*")</f>
        <v>0</v>
      </c>
      <c r="W28" s="27">
        <f>SUMIFS(Dataset!$AJ:$AJ,Dataset!$F:$F,Resumen!W$8,Dataset!$J:$J,"&gt;="&amp;$AC28,Dataset!$J:$J,"&lt;"&amp;$AD28,Dataset!$AH:$AH,"bono corporativo",Dataset!$T:$T,"$",Dataset!$AC:$AC,"&lt;&gt;*AA*")</f>
        <v>0</v>
      </c>
      <c r="X28" s="28">
        <f>SUMIFS(Dataset!$AA:$AA,Dataset!$F:$F,Resumen!W$8,Dataset!$J:$J,"&gt;="&amp;$AC28,Dataset!$J:$J,"&lt;"&amp;$AD28,Dataset!$AH:$AH,"bono corporativo",Dataset!$T:$T,"$",Dataset!$AC:$AC,"&lt;&gt;*AA*")</f>
        <v>0</v>
      </c>
      <c r="Y28" s="27">
        <f>SUMIFS(Dataset!$AJ:$AJ,Dataset!$F:$F,Resumen!Y$8,Dataset!$J:$J,"&gt;="&amp;$AC28,Dataset!$J:$J,"&lt;"&amp;$AD28,Dataset!$AH:$AH,"bono corporativo",Dataset!$T:$T,"$",Dataset!$AC:$AC,"&lt;&gt;*AA*")</f>
        <v>0</v>
      </c>
      <c r="Z28" s="28">
        <f>SUMIFS(Dataset!$AA:$AA,Dataset!$F:$F,Resumen!Y$8,Dataset!$J:$J,"&gt;="&amp;$AC28,Dataset!$J:$J,"&lt;"&amp;$AD28,Dataset!$AH:$AH,"bono corporativo",Dataset!$T:$T,"$",Dataset!$AC:$AC,"&lt;&gt;*AA*")</f>
        <v>0</v>
      </c>
      <c r="AA28" s="27">
        <f>SUMIFS(Dataset!$AJ:$AJ,Dataset!$F:$F,Resumen!AA$8,Dataset!$J:$J,"&gt;="&amp;$AC28,Dataset!$J:$J,"&lt;"&amp;$AD28,Dataset!$AH:$AH,"bono corporativo",Dataset!$T:$T,"$",Dataset!$AC:$AC,"&lt;&gt;*AA*")</f>
        <v>0</v>
      </c>
      <c r="AB28" s="28">
        <f>SUMIFS(Dataset!$AA:$AA,Dataset!$F:$F,Resumen!AA$8,Dataset!$J:$J,"&gt;="&amp;$AC28,Dataset!$J:$J,"&lt;"&amp;$AD28,Dataset!$AH:$AH,"bono corporativo",Dataset!$T:$T,"$",Dataset!$AC:$AC,"&lt;&gt;*AA*")</f>
        <v>0</v>
      </c>
      <c r="AC28" s="22">
        <v>5</v>
      </c>
      <c r="AD28" s="22">
        <v>10</v>
      </c>
    </row>
    <row r="29" spans="2:34" ht="30" customHeight="1" x14ac:dyDescent="0.3">
      <c r="B29" s="159"/>
      <c r="C29" s="158"/>
      <c r="D29" s="31" t="s">
        <v>122</v>
      </c>
      <c r="E29" s="29">
        <f>SUMIFS(Dataset!$AJ:$AJ,Dataset!$F:$F,Resumen!E$8,Dataset!$J:$J,"&gt;="&amp;$AC29,Dataset!$J:$J,"&lt;"&amp;$AD29,Dataset!$AH:$AH,"bono corporativo",Dataset!$T:$T,"$",Dataset!$AC:$AC,"&lt;&gt;*AA*")</f>
        <v>0</v>
      </c>
      <c r="F29" s="30">
        <f>SUMIFS(Dataset!$AA:$AA,Dataset!$F:$F,Resumen!E$8,Dataset!$J:$J,"&gt;="&amp;$AC29,Dataset!$J:$J,"&lt;"&amp;$AD29,Dataset!$AH:$AH,"bono corporativo",Dataset!$T:$T,"$",Dataset!$AC:$AC,"&lt;&gt;*AA*")</f>
        <v>0</v>
      </c>
      <c r="G29" s="29">
        <f>SUMIFS(Dataset!$AJ:$AJ,Dataset!$F:$F,Resumen!G$8,Dataset!$J:$J,"&gt;="&amp;$AC29,Dataset!$J:$J,"&lt;"&amp;$AD29,Dataset!$AH:$AH,"bono corporativo",Dataset!$T:$T,"$",Dataset!$AC:$AC,"&lt;&gt;*AA*")</f>
        <v>0</v>
      </c>
      <c r="H29" s="30">
        <f>SUMIFS(Dataset!$AA:$AA,Dataset!$F:$F,Resumen!G$8,Dataset!$J:$J,"&gt;="&amp;$AC29,Dataset!$J:$J,"&lt;"&amp;$AD29,Dataset!$AH:$AH,"bono corporativo",Dataset!$T:$T,"$",Dataset!$AC:$AC,"&lt;&gt;*AA*")</f>
        <v>0</v>
      </c>
      <c r="I29" s="29">
        <f>SUMIFS(Dataset!$AJ:$AJ,Dataset!$F:$F,Resumen!I$8,Dataset!$J:$J,"&gt;="&amp;$AC29,Dataset!$J:$J,"&lt;"&amp;$AD29,Dataset!$AH:$AH,"bono corporativo",Dataset!$T:$T,"$",Dataset!$AC:$AC,"&lt;&gt;*AA*")</f>
        <v>0</v>
      </c>
      <c r="J29" s="30">
        <f>SUMIFS(Dataset!$AA:$AA,Dataset!$F:$F,Resumen!I$8,Dataset!$J:$J,"&gt;="&amp;$AC29,Dataset!$J:$J,"&lt;"&amp;$AD29,Dataset!$AH:$AH,"bono corporativo",Dataset!$T:$T,"$",Dataset!$AC:$AC,"&lt;&gt;*AA*")</f>
        <v>0</v>
      </c>
      <c r="K29" s="29">
        <f>SUMIFS(Dataset!$AJ:$AJ,Dataset!$F:$F,Resumen!K$8,Dataset!$J:$J,"&gt;="&amp;$AC29,Dataset!$J:$J,"&lt;"&amp;$AD29,Dataset!$AH:$AH,"bono corporativo",Dataset!$T:$T,"$",Dataset!$AC:$AC,"&lt;&gt;*AA*")</f>
        <v>0</v>
      </c>
      <c r="L29" s="30">
        <f>SUMIFS(Dataset!$AA:$AA,Dataset!$F:$F,Resumen!K$8,Dataset!$J:$J,"&gt;="&amp;$AC29,Dataset!$J:$J,"&lt;"&amp;$AD29,Dataset!$AH:$AH,"bono corporativo",Dataset!$T:$T,"$",Dataset!$AC:$AC,"&lt;&gt;*AA*")</f>
        <v>0</v>
      </c>
      <c r="M29" s="29">
        <f>SUMIFS(Dataset!$AJ:$AJ,Dataset!$F:$F,Resumen!M$8,Dataset!$J:$J,"&gt;="&amp;$AC29,Dataset!$J:$J,"&lt;"&amp;$AD29,Dataset!$AH:$AH,"bono corporativo",Dataset!$T:$T,"$",Dataset!$AC:$AC,"&lt;&gt;*AA*")</f>
        <v>0</v>
      </c>
      <c r="N29" s="30">
        <f>SUMIFS(Dataset!$AA:$AA,Dataset!$F:$F,Resumen!M$8,Dataset!$J:$J,"&gt;="&amp;$AC29,Dataset!$J:$J,"&lt;"&amp;$AD29,Dataset!$AH:$AH,"bono corporativo",Dataset!$T:$T,"$",Dataset!$AC:$AC,"&lt;&gt;*AA*")</f>
        <v>0</v>
      </c>
      <c r="O29" s="29">
        <f>SUMIFS(Dataset!$AJ:$AJ,Dataset!$F:$F,Resumen!O$8,Dataset!$J:$J,"&gt;="&amp;$AC29,Dataset!$J:$J,"&lt;"&amp;$AD29,Dataset!$AH:$AH,"bono corporativo",Dataset!$T:$T,"$",Dataset!$AC:$AC,"&lt;&gt;*AA*")</f>
        <v>0</v>
      </c>
      <c r="P29" s="30">
        <f>SUMIFS(Dataset!$AA:$AA,Dataset!$F:$F,Resumen!O$8,Dataset!$J:$J,"&gt;="&amp;$AC29,Dataset!$J:$J,"&lt;"&amp;$AD29,Dataset!$AH:$AH,"bono corporativo",Dataset!$T:$T,"$",Dataset!$AC:$AC,"&lt;&gt;*AA*")</f>
        <v>0</v>
      </c>
      <c r="Q29" s="29">
        <f>SUMIFS(Dataset!$AJ:$AJ,Dataset!$F:$F,Resumen!Q$8,Dataset!$J:$J,"&gt;="&amp;$AC29,Dataset!$J:$J,"&lt;"&amp;$AD29,Dataset!$AH:$AH,"bono corporativo",Dataset!$T:$T,"$",Dataset!$AC:$AC,"&lt;&gt;*AA*")</f>
        <v>0</v>
      </c>
      <c r="R29" s="30">
        <f>SUMIFS(Dataset!$AA:$AA,Dataset!$F:$F,Resumen!Q$8,Dataset!$J:$J,"&gt;="&amp;$AC29,Dataset!$J:$J,"&lt;"&amp;$AD29,Dataset!$AH:$AH,"bono corporativo",Dataset!$T:$T,"$",Dataset!$AC:$AC,"&lt;&gt;*AA*")</f>
        <v>0</v>
      </c>
      <c r="S29" s="29">
        <f>SUMIFS(Dataset!$AJ:$AJ,Dataset!$F:$F,Resumen!S$8,Dataset!$J:$J,"&gt;="&amp;$AC29,Dataset!$J:$J,"&lt;"&amp;$AD29,Dataset!$AH:$AH,"bono corporativo",Dataset!$T:$T,"$",Dataset!$AC:$AC,"&lt;&gt;*AA*")</f>
        <v>0</v>
      </c>
      <c r="T29" s="30">
        <f>SUMIFS(Dataset!$AA:$AA,Dataset!$F:$F,Resumen!S$8,Dataset!$J:$J,"&gt;="&amp;$AC29,Dataset!$J:$J,"&lt;"&amp;$AD29,Dataset!$AH:$AH,"bono corporativo",Dataset!$T:$T,"$",Dataset!$AC:$AC,"&lt;&gt;*AA*")</f>
        <v>0</v>
      </c>
      <c r="U29" s="29">
        <f>SUMIFS(Dataset!$AJ:$AJ,Dataset!$F:$F,Resumen!U$8,Dataset!$J:$J,"&gt;="&amp;$AC29,Dataset!$J:$J,"&lt;"&amp;$AD29,Dataset!$AH:$AH,"bono corporativo",Dataset!$T:$T,"$",Dataset!$AC:$AC,"&lt;&gt;*AA*")</f>
        <v>0</v>
      </c>
      <c r="V29" s="30">
        <f>SUMIFS(Dataset!$AA:$AA,Dataset!$F:$F,Resumen!U$8,Dataset!$J:$J,"&gt;="&amp;$AC29,Dataset!$J:$J,"&lt;"&amp;$AD29,Dataset!$AH:$AH,"bono corporativo",Dataset!$T:$T,"$",Dataset!$AC:$AC,"&lt;&gt;*AA*")</f>
        <v>0</v>
      </c>
      <c r="W29" s="29">
        <f>SUMIFS(Dataset!$AJ:$AJ,Dataset!$F:$F,Resumen!W$8,Dataset!$J:$J,"&gt;="&amp;$AC29,Dataset!$J:$J,"&lt;"&amp;$AD29,Dataset!$AH:$AH,"bono corporativo",Dataset!$T:$T,"$",Dataset!$AC:$AC,"&lt;&gt;*AA*")</f>
        <v>0</v>
      </c>
      <c r="X29" s="30">
        <f>SUMIFS(Dataset!$AA:$AA,Dataset!$F:$F,Resumen!W$8,Dataset!$J:$J,"&gt;="&amp;$AC29,Dataset!$J:$J,"&lt;"&amp;$AD29,Dataset!$AH:$AH,"bono corporativo",Dataset!$T:$T,"$",Dataset!$AC:$AC,"&lt;&gt;*AA*")</f>
        <v>0</v>
      </c>
      <c r="Y29" s="29">
        <f>SUMIFS(Dataset!$AJ:$AJ,Dataset!$F:$F,Resumen!Y$8,Dataset!$J:$J,"&gt;="&amp;$AC29,Dataset!$J:$J,"&lt;"&amp;$AD29,Dataset!$AH:$AH,"bono corporativo",Dataset!$T:$T,"$",Dataset!$AC:$AC,"&lt;&gt;*AA*")</f>
        <v>0</v>
      </c>
      <c r="Z29" s="30">
        <f>SUMIFS(Dataset!$AA:$AA,Dataset!$F:$F,Resumen!Y$8,Dataset!$J:$J,"&gt;="&amp;$AC29,Dataset!$J:$J,"&lt;"&amp;$AD29,Dataset!$AH:$AH,"bono corporativo",Dataset!$T:$T,"$",Dataset!$AC:$AC,"&lt;&gt;*AA*")</f>
        <v>0</v>
      </c>
      <c r="AA29" s="29">
        <f>SUMIFS(Dataset!$AJ:$AJ,Dataset!$F:$F,Resumen!AA$8,Dataset!$J:$J,"&gt;="&amp;$AC29,Dataset!$J:$J,"&lt;"&amp;$AD29,Dataset!$AH:$AH,"bono corporativo",Dataset!$T:$T,"$",Dataset!$AC:$AC,"&lt;&gt;*AA*")</f>
        <v>0</v>
      </c>
      <c r="AB29" s="30">
        <f>SUMIFS(Dataset!$AA:$AA,Dataset!$F:$F,Resumen!AA$8,Dataset!$J:$J,"&gt;="&amp;$AC29,Dataset!$J:$J,"&lt;"&amp;$AD29,Dataset!$AH:$AH,"bono corporativo",Dataset!$T:$T,"$",Dataset!$AC:$AC,"&lt;&gt;*AA*")</f>
        <v>0</v>
      </c>
      <c r="AC29" s="22">
        <v>10</v>
      </c>
      <c r="AD29" s="22">
        <v>100</v>
      </c>
    </row>
    <row r="30" spans="2:34" ht="30" customHeight="1" x14ac:dyDescent="0.3">
      <c r="B30" s="159" t="s">
        <v>69</v>
      </c>
      <c r="C30" s="158" t="s">
        <v>125</v>
      </c>
      <c r="D30" s="31" t="s">
        <v>119</v>
      </c>
      <c r="E30" s="24">
        <f>SUMIFS(Dataset!$AJ:$AJ,Dataset!$F:$F,Resumen!E$8,Dataset!$J:$J,"&gt;="&amp;$AC30,Dataset!$J:$J,"&lt;"&amp;$AD30,Dataset!$AH:$AH,"bono corporativo",Dataset!$T:$T,"UF",Dataset!$AC:$AC,"*AA*")</f>
        <v>-0.16449567527226752</v>
      </c>
      <c r="F30" s="25">
        <f>SUMIFS(Dataset!$AA:$AA,Dataset!$F:$F,Resumen!E$8,Dataset!$J:$J,"&gt;="&amp;$AC30,Dataset!$J:$J,"&lt;"&amp;$AD30,Dataset!$AH:$AH,"bono corporativo",Dataset!$T:$T,"UF",Dataset!$AC:$AC,"*AA*")</f>
        <v>0.308814740550649</v>
      </c>
      <c r="G30" s="24">
        <f>SUMIFS(Dataset!$AJ:$AJ,Dataset!$F:$F,Resumen!G$8,Dataset!$J:$J,"&gt;="&amp;$AC30,Dataset!$J:$J,"&lt;"&amp;$AD30,Dataset!$AH:$AH,"bono corporativo",Dataset!$T:$T,"UF",Dataset!$AC:$AC,"*AA*")</f>
        <v>0</v>
      </c>
      <c r="H30" s="25">
        <f>SUMIFS(Dataset!$AA:$AA,Dataset!$F:$F,Resumen!G$8,Dataset!$J:$J,"&gt;="&amp;$AC30,Dataset!$J:$J,"&lt;"&amp;$AD30,Dataset!$AH:$AH,"bono corporativo",Dataset!$T:$T,"UF",Dataset!$AC:$AC,"*AA*")</f>
        <v>0</v>
      </c>
      <c r="I30" s="24">
        <f>SUMIFS(Dataset!$AJ:$AJ,Dataset!$F:$F,Resumen!I$8,Dataset!$J:$J,"&gt;="&amp;$AC30,Dataset!$J:$J,"&lt;"&amp;$AD30,Dataset!$AH:$AH,"bono corporativo",Dataset!$T:$T,"UF",Dataset!$AC:$AC,"*AA*")</f>
        <v>0</v>
      </c>
      <c r="J30" s="25">
        <f>SUMIFS(Dataset!$AA:$AA,Dataset!$F:$F,Resumen!I$8,Dataset!$J:$J,"&gt;="&amp;$AC30,Dataset!$J:$J,"&lt;"&amp;$AD30,Dataset!$AH:$AH,"bono corporativo",Dataset!$T:$T,"UF",Dataset!$AC:$AC,"*AA*")</f>
        <v>0</v>
      </c>
      <c r="K30" s="24">
        <f>SUMIFS(Dataset!$AJ:$AJ,Dataset!$F:$F,Resumen!K$8,Dataset!$J:$J,"&gt;="&amp;$AC30,Dataset!$J:$J,"&lt;"&amp;$AD30,Dataset!$AH:$AH,"bono corporativo",Dataset!$T:$T,"UF",Dataset!$AC:$AC,"*AA*")</f>
        <v>0</v>
      </c>
      <c r="L30" s="25">
        <f>SUMIFS(Dataset!$AA:$AA,Dataset!$F:$F,Resumen!K$8,Dataset!$J:$J,"&gt;="&amp;$AC30,Dataset!$J:$J,"&lt;"&amp;$AD30,Dataset!$AH:$AH,"bono corporativo",Dataset!$T:$T,"UF",Dataset!$AC:$AC,"*AA*")</f>
        <v>0</v>
      </c>
      <c r="M30" s="24">
        <f>SUMIFS(Dataset!$AJ:$AJ,Dataset!$F:$F,Resumen!M$8,Dataset!$J:$J,"&gt;="&amp;$AC30,Dataset!$J:$J,"&lt;"&amp;$AD30,Dataset!$AH:$AH,"bono corporativo",Dataset!$T:$T,"UF",Dataset!$AC:$AC,"*AA*")</f>
        <v>2.0195252543276698E-2</v>
      </c>
      <c r="N30" s="25">
        <f>SUMIFS(Dataset!$AA:$AA,Dataset!$F:$F,Resumen!M$8,Dataset!$J:$J,"&gt;="&amp;$AC30,Dataset!$J:$J,"&lt;"&amp;$AD30,Dataset!$AH:$AH,"bono corporativo",Dataset!$T:$T,"UF",Dataset!$AC:$AC,"*AA*")</f>
        <v>-1.0527334357090995E-2</v>
      </c>
      <c r="O30" s="24">
        <f>SUMIFS(Dataset!$AJ:$AJ,Dataset!$F:$F,Resumen!O$8,Dataset!$J:$J,"&gt;="&amp;$AC30,Dataset!$J:$J,"&lt;"&amp;$AD30,Dataset!$AH:$AH,"bono corporativo",Dataset!$T:$T,"UF",Dataset!$AC:$AC,"*AA*")</f>
        <v>0</v>
      </c>
      <c r="P30" s="25">
        <f>SUMIFS(Dataset!$AA:$AA,Dataset!$F:$F,Resumen!O$8,Dataset!$J:$J,"&gt;="&amp;$AC30,Dataset!$J:$J,"&lt;"&amp;$AD30,Dataset!$AH:$AH,"bono corporativo",Dataset!$T:$T,"UF",Dataset!$AC:$AC,"*AA*")</f>
        <v>0</v>
      </c>
      <c r="Q30" s="24">
        <f>SUMIFS(Dataset!$AJ:$AJ,Dataset!$F:$F,Resumen!Q$8,Dataset!$J:$J,"&gt;="&amp;$AC30,Dataset!$J:$J,"&lt;"&amp;$AD30,Dataset!$AH:$AH,"bono corporativo",Dataset!$T:$T,"UF",Dataset!$AC:$AC,"*AA*")</f>
        <v>0</v>
      </c>
      <c r="R30" s="25">
        <f>SUMIFS(Dataset!$AA:$AA,Dataset!$F:$F,Resumen!Q$8,Dataset!$J:$J,"&gt;="&amp;$AC30,Dataset!$J:$J,"&lt;"&amp;$AD30,Dataset!$AH:$AH,"bono corporativo",Dataset!$T:$T,"UF",Dataset!$AC:$AC,"*AA*")</f>
        <v>0</v>
      </c>
      <c r="S30" s="24">
        <f>SUMIFS(Dataset!$AJ:$AJ,Dataset!$F:$F,Resumen!S$8,Dataset!$J:$J,"&gt;="&amp;$AC30,Dataset!$J:$J,"&lt;"&amp;$AD30,Dataset!$AH:$AH,"bono corporativo",Dataset!$T:$T,"UF",Dataset!$AC:$AC,"*AA*")</f>
        <v>0</v>
      </c>
      <c r="T30" s="25">
        <f>SUMIFS(Dataset!$AA:$AA,Dataset!$F:$F,Resumen!S$8,Dataset!$J:$J,"&gt;="&amp;$AC30,Dataset!$J:$J,"&lt;"&amp;$AD30,Dataset!$AH:$AH,"bono corporativo",Dataset!$T:$T,"UF",Dataset!$AC:$AC,"*AA*")</f>
        <v>0</v>
      </c>
      <c r="U30" s="24">
        <f>SUMIFS(Dataset!$AJ:$AJ,Dataset!$F:$F,Resumen!U$8,Dataset!$J:$J,"&gt;="&amp;$AC30,Dataset!$J:$J,"&lt;"&amp;$AD30,Dataset!$AH:$AH,"bono corporativo",Dataset!$T:$T,"UF",Dataset!$AC:$AC,"*AA*")</f>
        <v>0</v>
      </c>
      <c r="V30" s="25">
        <f>SUMIFS(Dataset!$AA:$AA,Dataset!$F:$F,Resumen!U$8,Dataset!$J:$J,"&gt;="&amp;$AC30,Dataset!$J:$J,"&lt;"&amp;$AD30,Dataset!$AH:$AH,"bono corporativo",Dataset!$T:$T,"UF",Dataset!$AC:$AC,"*AA*")</f>
        <v>0</v>
      </c>
      <c r="W30" s="24">
        <f>SUMIFS(Dataset!$AJ:$AJ,Dataset!$F:$F,Resumen!W$8,Dataset!$J:$J,"&gt;="&amp;$AC30,Dataset!$J:$J,"&lt;"&amp;$AD30,Dataset!$AH:$AH,"bono corporativo",Dataset!$T:$T,"UF",Dataset!$AC:$AC,"*AA*")</f>
        <v>0</v>
      </c>
      <c r="X30" s="25">
        <f>SUMIFS(Dataset!$AA:$AA,Dataset!$F:$F,Resumen!W$8,Dataset!$J:$J,"&gt;="&amp;$AC30,Dataset!$J:$J,"&lt;"&amp;$AD30,Dataset!$AH:$AH,"bono corporativo",Dataset!$T:$T,"UF",Dataset!$AC:$AC,"*AA*")</f>
        <v>0</v>
      </c>
      <c r="Y30" s="24">
        <f>SUMIFS(Dataset!$AJ:$AJ,Dataset!$F:$F,Resumen!Y$8,Dataset!$J:$J,"&gt;="&amp;$AC30,Dataset!$J:$J,"&lt;"&amp;$AD30,Dataset!$AH:$AH,"bono corporativo",Dataset!$T:$T,"UF",Dataset!$AC:$AC,"*AA*")</f>
        <v>0</v>
      </c>
      <c r="Z30" s="25">
        <f>SUMIFS(Dataset!$AA:$AA,Dataset!$F:$F,Resumen!Y$8,Dataset!$J:$J,"&gt;="&amp;$AC30,Dataset!$J:$J,"&lt;"&amp;$AD30,Dataset!$AH:$AH,"bono corporativo",Dataset!$T:$T,"UF",Dataset!$AC:$AC,"*AA*")</f>
        <v>0</v>
      </c>
      <c r="AA30" s="24">
        <f>SUMIFS(Dataset!$AJ:$AJ,Dataset!$F:$F,Resumen!AA$8,Dataset!$J:$J,"&gt;="&amp;$AC30,Dataset!$J:$J,"&lt;"&amp;$AD30,Dataset!$AH:$AH,"bono corporativo",Dataset!$T:$T,"UF",Dataset!$AC:$AC,"*AA*")</f>
        <v>0</v>
      </c>
      <c r="AB30" s="25">
        <f>SUMIFS(Dataset!$AA:$AA,Dataset!$F:$F,Resumen!AA$8,Dataset!$J:$J,"&gt;="&amp;$AC30,Dataset!$J:$J,"&lt;"&amp;$AD30,Dataset!$AH:$AH,"bono corporativo",Dataset!$T:$T,"UF",Dataset!$AC:$AC,"*AA*")</f>
        <v>0</v>
      </c>
      <c r="AC30" s="22">
        <v>0</v>
      </c>
      <c r="AD30" s="22">
        <v>3</v>
      </c>
    </row>
    <row r="31" spans="2:34" ht="30" customHeight="1" x14ac:dyDescent="0.3">
      <c r="B31" s="159"/>
      <c r="C31" s="158"/>
      <c r="D31" s="31" t="s">
        <v>120</v>
      </c>
      <c r="E31" s="27">
        <f>SUMIFS(Dataset!$AJ:$AJ,Dataset!$F:$F,Resumen!E$8,Dataset!$J:$J,"&gt;="&amp;$AC31,Dataset!$J:$J,"&lt;"&amp;$AD31,Dataset!$AH:$AH,"bono corporativo",Dataset!$T:$T,"UF",Dataset!$AC:$AC,"*AA*")</f>
        <v>-5.4613367624078583E-2</v>
      </c>
      <c r="F31" s="28">
        <f>SUMIFS(Dataset!$AA:$AA,Dataset!$F:$F,Resumen!E$8,Dataset!$J:$J,"&gt;="&amp;$AC31,Dataset!$J:$J,"&lt;"&amp;$AD31,Dataset!$AH:$AH,"bono corporativo",Dataset!$T:$T,"UF",Dataset!$AC:$AC,"*AA*")</f>
        <v>0.26081309801729213</v>
      </c>
      <c r="G31" s="27">
        <f>SUMIFS(Dataset!$AJ:$AJ,Dataset!$F:$F,Resumen!G$8,Dataset!$J:$J,"&gt;="&amp;$AC31,Dataset!$J:$J,"&lt;"&amp;$AD31,Dataset!$AH:$AH,"bono corporativo",Dataset!$T:$T,"UF",Dataset!$AC:$AC,"*AA*")</f>
        <v>0</v>
      </c>
      <c r="H31" s="28">
        <f>SUMIFS(Dataset!$AA:$AA,Dataset!$F:$F,Resumen!G$8,Dataset!$J:$J,"&gt;="&amp;$AC31,Dataset!$J:$J,"&lt;"&amp;$AD31,Dataset!$AH:$AH,"bono corporativo",Dataset!$T:$T,"UF",Dataset!$AC:$AC,"*AA*")</f>
        <v>0</v>
      </c>
      <c r="I31" s="27">
        <f>SUMIFS(Dataset!$AJ:$AJ,Dataset!$F:$F,Resumen!I$8,Dataset!$J:$J,"&gt;="&amp;$AC31,Dataset!$J:$J,"&lt;"&amp;$AD31,Dataset!$AH:$AH,"bono corporativo",Dataset!$T:$T,"UF",Dataset!$AC:$AC,"*AA*")</f>
        <v>0</v>
      </c>
      <c r="J31" s="28">
        <f>SUMIFS(Dataset!$AA:$AA,Dataset!$F:$F,Resumen!I$8,Dataset!$J:$J,"&gt;="&amp;$AC31,Dataset!$J:$J,"&lt;"&amp;$AD31,Dataset!$AH:$AH,"bono corporativo",Dataset!$T:$T,"UF",Dataset!$AC:$AC,"*AA*")</f>
        <v>0</v>
      </c>
      <c r="K31" s="27">
        <f>SUMIFS(Dataset!$AJ:$AJ,Dataset!$F:$F,Resumen!K$8,Dataset!$J:$J,"&gt;="&amp;$AC31,Dataset!$J:$J,"&lt;"&amp;$AD31,Dataset!$AH:$AH,"bono corporativo",Dataset!$T:$T,"UF",Dataset!$AC:$AC,"*AA*")</f>
        <v>0</v>
      </c>
      <c r="L31" s="28">
        <f>SUMIFS(Dataset!$AA:$AA,Dataset!$F:$F,Resumen!K$8,Dataset!$J:$J,"&gt;="&amp;$AC31,Dataset!$J:$J,"&lt;"&amp;$AD31,Dataset!$AH:$AH,"bono corporativo",Dataset!$T:$T,"UF",Dataset!$AC:$AC,"*AA*")</f>
        <v>0</v>
      </c>
      <c r="M31" s="27">
        <f>SUMIFS(Dataset!$AJ:$AJ,Dataset!$F:$F,Resumen!M$8,Dataset!$J:$J,"&gt;="&amp;$AC31,Dataset!$J:$J,"&lt;"&amp;$AD31,Dataset!$AH:$AH,"bono corporativo",Dataset!$T:$T,"UF",Dataset!$AC:$AC,"*AA*")</f>
        <v>2.5215289094057139E-2</v>
      </c>
      <c r="N31" s="28">
        <f>SUMIFS(Dataset!$AA:$AA,Dataset!$F:$F,Resumen!M$8,Dataset!$J:$J,"&gt;="&amp;$AC31,Dataset!$J:$J,"&lt;"&amp;$AD31,Dataset!$AH:$AH,"bono corporativo",Dataset!$T:$T,"UF",Dataset!$AC:$AC,"*AA*")</f>
        <v>-1.0322789749301464E-2</v>
      </c>
      <c r="O31" s="27">
        <f>SUMIFS(Dataset!$AJ:$AJ,Dataset!$F:$F,Resumen!O$8,Dataset!$J:$J,"&gt;="&amp;$AC31,Dataset!$J:$J,"&lt;"&amp;$AD31,Dataset!$AH:$AH,"bono corporativo",Dataset!$T:$T,"UF",Dataset!$AC:$AC,"*AA*")</f>
        <v>0</v>
      </c>
      <c r="P31" s="28">
        <f>SUMIFS(Dataset!$AA:$AA,Dataset!$F:$F,Resumen!O$8,Dataset!$J:$J,"&gt;="&amp;$AC31,Dataset!$J:$J,"&lt;"&amp;$AD31,Dataset!$AH:$AH,"bono corporativo",Dataset!$T:$T,"UF",Dataset!$AC:$AC,"*AA*")</f>
        <v>0</v>
      </c>
      <c r="Q31" s="27">
        <f>SUMIFS(Dataset!$AJ:$AJ,Dataset!$F:$F,Resumen!Q$8,Dataset!$J:$J,"&gt;="&amp;$AC31,Dataset!$J:$J,"&lt;"&amp;$AD31,Dataset!$AH:$AH,"bono corporativo",Dataset!$T:$T,"UF",Dataset!$AC:$AC,"*AA*")</f>
        <v>0</v>
      </c>
      <c r="R31" s="28">
        <f>SUMIFS(Dataset!$AA:$AA,Dataset!$F:$F,Resumen!Q$8,Dataset!$J:$J,"&gt;="&amp;$AC31,Dataset!$J:$J,"&lt;"&amp;$AD31,Dataset!$AH:$AH,"bono corporativo",Dataset!$T:$T,"UF",Dataset!$AC:$AC,"*AA*")</f>
        <v>0</v>
      </c>
      <c r="S31" s="27">
        <f>SUMIFS(Dataset!$AJ:$AJ,Dataset!$F:$F,Resumen!S$8,Dataset!$J:$J,"&gt;="&amp;$AC31,Dataset!$J:$J,"&lt;"&amp;$AD31,Dataset!$AH:$AH,"bono corporativo",Dataset!$T:$T,"UF",Dataset!$AC:$AC,"*AA*")</f>
        <v>0</v>
      </c>
      <c r="T31" s="28">
        <f>SUMIFS(Dataset!$AA:$AA,Dataset!$F:$F,Resumen!S$8,Dataset!$J:$J,"&gt;="&amp;$AC31,Dataset!$J:$J,"&lt;"&amp;$AD31,Dataset!$AH:$AH,"bono corporativo",Dataset!$T:$T,"UF",Dataset!$AC:$AC,"*AA*")</f>
        <v>0</v>
      </c>
      <c r="U31" s="27">
        <f>SUMIFS(Dataset!$AJ:$AJ,Dataset!$F:$F,Resumen!U$8,Dataset!$J:$J,"&gt;="&amp;$AC31,Dataset!$J:$J,"&lt;"&amp;$AD31,Dataset!$AH:$AH,"bono corporativo",Dataset!$T:$T,"UF",Dataset!$AC:$AC,"*AA*")</f>
        <v>0</v>
      </c>
      <c r="V31" s="28">
        <f>SUMIFS(Dataset!$AA:$AA,Dataset!$F:$F,Resumen!U$8,Dataset!$J:$J,"&gt;="&amp;$AC31,Dataset!$J:$J,"&lt;"&amp;$AD31,Dataset!$AH:$AH,"bono corporativo",Dataset!$T:$T,"UF",Dataset!$AC:$AC,"*AA*")</f>
        <v>0</v>
      </c>
      <c r="W31" s="27">
        <f>SUMIFS(Dataset!$AJ:$AJ,Dataset!$F:$F,Resumen!W$8,Dataset!$J:$J,"&gt;="&amp;$AC31,Dataset!$J:$J,"&lt;"&amp;$AD31,Dataset!$AH:$AH,"bono corporativo",Dataset!$T:$T,"UF",Dataset!$AC:$AC,"*AA*")</f>
        <v>0</v>
      </c>
      <c r="X31" s="28">
        <f>SUMIFS(Dataset!$AA:$AA,Dataset!$F:$F,Resumen!W$8,Dataset!$J:$J,"&gt;="&amp;$AC31,Dataset!$J:$J,"&lt;"&amp;$AD31,Dataset!$AH:$AH,"bono corporativo",Dataset!$T:$T,"UF",Dataset!$AC:$AC,"*AA*")</f>
        <v>0</v>
      </c>
      <c r="Y31" s="27">
        <f>SUMIFS(Dataset!$AJ:$AJ,Dataset!$F:$F,Resumen!Y$8,Dataset!$J:$J,"&gt;="&amp;$AC31,Dataset!$J:$J,"&lt;"&amp;$AD31,Dataset!$AH:$AH,"bono corporativo",Dataset!$T:$T,"UF",Dataset!$AC:$AC,"*AA*")</f>
        <v>0</v>
      </c>
      <c r="Z31" s="28">
        <f>SUMIFS(Dataset!$AA:$AA,Dataset!$F:$F,Resumen!Y$8,Dataset!$J:$J,"&gt;="&amp;$AC31,Dataset!$J:$J,"&lt;"&amp;$AD31,Dataset!$AH:$AH,"bono corporativo",Dataset!$T:$T,"UF",Dataset!$AC:$AC,"*AA*")</f>
        <v>0</v>
      </c>
      <c r="AA31" s="27">
        <f>SUMIFS(Dataset!$AJ:$AJ,Dataset!$F:$F,Resumen!AA$8,Dataset!$J:$J,"&gt;="&amp;$AC31,Dataset!$J:$J,"&lt;"&amp;$AD31,Dataset!$AH:$AH,"bono corporativo",Dataset!$T:$T,"UF",Dataset!$AC:$AC,"*AA*")</f>
        <v>0</v>
      </c>
      <c r="AB31" s="28">
        <f>SUMIFS(Dataset!$AA:$AA,Dataset!$F:$F,Resumen!AA$8,Dataset!$J:$J,"&gt;="&amp;$AC31,Dataset!$J:$J,"&lt;"&amp;$AD31,Dataset!$AH:$AH,"bono corporativo",Dataset!$T:$T,"UF",Dataset!$AC:$AC,"*AA*")</f>
        <v>0</v>
      </c>
      <c r="AC31" s="22">
        <v>3</v>
      </c>
      <c r="AD31" s="22">
        <v>5</v>
      </c>
    </row>
    <row r="32" spans="2:34" ht="30" customHeight="1" x14ac:dyDescent="0.3">
      <c r="B32" s="159"/>
      <c r="C32" s="158"/>
      <c r="D32" s="31" t="s">
        <v>121</v>
      </c>
      <c r="E32" s="27">
        <f>SUMIFS(Dataset!$AJ:$AJ,Dataset!$F:$F,Resumen!E$8,Dataset!$J:$J,"&gt;="&amp;$AC32,Dataset!$J:$J,"&lt;"&amp;$AD32,Dataset!$AH:$AH,"bono corporativo",Dataset!$T:$T,"UF",Dataset!$AC:$AC,"*AA*")</f>
        <v>-3.3032770836247064E-3</v>
      </c>
      <c r="F32" s="28">
        <f>SUMIFS(Dataset!$AA:$AA,Dataset!$F:$F,Resumen!E$8,Dataset!$J:$J,"&gt;="&amp;$AC32,Dataset!$J:$J,"&lt;"&amp;$AD32,Dataset!$AH:$AH,"bono corporativo",Dataset!$T:$T,"UF",Dataset!$AC:$AC,"*AA*")</f>
        <v>0.27968382003813985</v>
      </c>
      <c r="G32" s="27">
        <f>SUMIFS(Dataset!$AJ:$AJ,Dataset!$F:$F,Resumen!G$8,Dataset!$J:$J,"&gt;="&amp;$AC32,Dataset!$J:$J,"&lt;"&amp;$AD32,Dataset!$AH:$AH,"bono corporativo",Dataset!$T:$T,"UF",Dataset!$AC:$AC,"*AA*")</f>
        <v>0</v>
      </c>
      <c r="H32" s="28">
        <f>SUMIFS(Dataset!$AA:$AA,Dataset!$F:$F,Resumen!G$8,Dataset!$J:$J,"&gt;="&amp;$AC32,Dataset!$J:$J,"&lt;"&amp;$AD32,Dataset!$AH:$AH,"bono corporativo",Dataset!$T:$T,"UF",Dataset!$AC:$AC,"*AA*")</f>
        <v>0</v>
      </c>
      <c r="I32" s="27">
        <f>SUMIFS(Dataset!$AJ:$AJ,Dataset!$F:$F,Resumen!I$8,Dataset!$J:$J,"&gt;="&amp;$AC32,Dataset!$J:$J,"&lt;"&amp;$AD32,Dataset!$AH:$AH,"bono corporativo",Dataset!$T:$T,"UF",Dataset!$AC:$AC,"*AA*")</f>
        <v>0</v>
      </c>
      <c r="J32" s="28">
        <f>SUMIFS(Dataset!$AA:$AA,Dataset!$F:$F,Resumen!I$8,Dataset!$J:$J,"&gt;="&amp;$AC32,Dataset!$J:$J,"&lt;"&amp;$AD32,Dataset!$AH:$AH,"bono corporativo",Dataset!$T:$T,"UF",Dataset!$AC:$AC,"*AA*")</f>
        <v>0</v>
      </c>
      <c r="K32" s="27">
        <f>SUMIFS(Dataset!$AJ:$AJ,Dataset!$F:$F,Resumen!K$8,Dataset!$J:$J,"&gt;="&amp;$AC32,Dataset!$J:$J,"&lt;"&amp;$AD32,Dataset!$AH:$AH,"bono corporativo",Dataset!$T:$T,"UF",Dataset!$AC:$AC,"*AA*")</f>
        <v>0</v>
      </c>
      <c r="L32" s="28">
        <f>SUMIFS(Dataset!$AA:$AA,Dataset!$F:$F,Resumen!K$8,Dataset!$J:$J,"&gt;="&amp;$AC32,Dataset!$J:$J,"&lt;"&amp;$AD32,Dataset!$AH:$AH,"bono corporativo",Dataset!$T:$T,"UF",Dataset!$AC:$AC,"*AA*")</f>
        <v>0</v>
      </c>
      <c r="M32" s="27">
        <f>SUMIFS(Dataset!$AJ:$AJ,Dataset!$F:$F,Resumen!M$8,Dataset!$J:$J,"&gt;="&amp;$AC32,Dataset!$J:$J,"&lt;"&amp;$AD32,Dataset!$AH:$AH,"bono corporativo",Dataset!$T:$T,"UF",Dataset!$AC:$AC,"*AA*")</f>
        <v>0.16237104476598407</v>
      </c>
      <c r="N32" s="28">
        <f>SUMIFS(Dataset!$AA:$AA,Dataset!$F:$F,Resumen!M$8,Dataset!$J:$J,"&gt;="&amp;$AC32,Dataset!$J:$J,"&lt;"&amp;$AD32,Dataset!$AH:$AH,"bono corporativo",Dataset!$T:$T,"UF",Dataset!$AC:$AC,"*AA*")</f>
        <v>-1.9863385895609015E-2</v>
      </c>
      <c r="O32" s="27">
        <f>SUMIFS(Dataset!$AJ:$AJ,Dataset!$F:$F,Resumen!O$8,Dataset!$J:$J,"&gt;="&amp;$AC32,Dataset!$J:$J,"&lt;"&amp;$AD32,Dataset!$AH:$AH,"bono corporativo",Dataset!$T:$T,"UF",Dataset!$AC:$AC,"*AA*")</f>
        <v>0</v>
      </c>
      <c r="P32" s="28">
        <f>SUMIFS(Dataset!$AA:$AA,Dataset!$F:$F,Resumen!O$8,Dataset!$J:$J,"&gt;="&amp;$AC32,Dataset!$J:$J,"&lt;"&amp;$AD32,Dataset!$AH:$AH,"bono corporativo",Dataset!$T:$T,"UF",Dataset!$AC:$AC,"*AA*")</f>
        <v>0</v>
      </c>
      <c r="Q32" s="27">
        <f>SUMIFS(Dataset!$AJ:$AJ,Dataset!$F:$F,Resumen!Q$8,Dataset!$J:$J,"&gt;="&amp;$AC32,Dataset!$J:$J,"&lt;"&amp;$AD32,Dataset!$AH:$AH,"bono corporativo",Dataset!$T:$T,"UF",Dataset!$AC:$AC,"*AA*")</f>
        <v>0</v>
      </c>
      <c r="R32" s="28">
        <f>SUMIFS(Dataset!$AA:$AA,Dataset!$F:$F,Resumen!Q$8,Dataset!$J:$J,"&gt;="&amp;$AC32,Dataset!$J:$J,"&lt;"&amp;$AD32,Dataset!$AH:$AH,"bono corporativo",Dataset!$T:$T,"UF",Dataset!$AC:$AC,"*AA*")</f>
        <v>0</v>
      </c>
      <c r="S32" s="27">
        <f>SUMIFS(Dataset!$AJ:$AJ,Dataset!$F:$F,Resumen!S$8,Dataset!$J:$J,"&gt;="&amp;$AC32,Dataset!$J:$J,"&lt;"&amp;$AD32,Dataset!$AH:$AH,"bono corporativo",Dataset!$T:$T,"UF",Dataset!$AC:$AC,"*AA*")</f>
        <v>0</v>
      </c>
      <c r="T32" s="28">
        <f>SUMIFS(Dataset!$AA:$AA,Dataset!$F:$F,Resumen!S$8,Dataset!$J:$J,"&gt;="&amp;$AC32,Dataset!$J:$J,"&lt;"&amp;$AD32,Dataset!$AH:$AH,"bono corporativo",Dataset!$T:$T,"UF",Dataset!$AC:$AC,"*AA*")</f>
        <v>0</v>
      </c>
      <c r="U32" s="27">
        <f>SUMIFS(Dataset!$AJ:$AJ,Dataset!$F:$F,Resumen!U$8,Dataset!$J:$J,"&gt;="&amp;$AC32,Dataset!$J:$J,"&lt;"&amp;$AD32,Dataset!$AH:$AH,"bono corporativo",Dataset!$T:$T,"UF",Dataset!$AC:$AC,"*AA*")</f>
        <v>0</v>
      </c>
      <c r="V32" s="28">
        <f>SUMIFS(Dataset!$AA:$AA,Dataset!$F:$F,Resumen!U$8,Dataset!$J:$J,"&gt;="&amp;$AC32,Dataset!$J:$J,"&lt;"&amp;$AD32,Dataset!$AH:$AH,"bono corporativo",Dataset!$T:$T,"UF",Dataset!$AC:$AC,"*AA*")</f>
        <v>0</v>
      </c>
      <c r="W32" s="27">
        <f>SUMIFS(Dataset!$AJ:$AJ,Dataset!$F:$F,Resumen!W$8,Dataset!$J:$J,"&gt;="&amp;$AC32,Dataset!$J:$J,"&lt;"&amp;$AD32,Dataset!$AH:$AH,"bono corporativo",Dataset!$T:$T,"UF",Dataset!$AC:$AC,"*AA*")</f>
        <v>0</v>
      </c>
      <c r="X32" s="28">
        <f>SUMIFS(Dataset!$AA:$AA,Dataset!$F:$F,Resumen!W$8,Dataset!$J:$J,"&gt;="&amp;$AC32,Dataset!$J:$J,"&lt;"&amp;$AD32,Dataset!$AH:$AH,"bono corporativo",Dataset!$T:$T,"UF",Dataset!$AC:$AC,"*AA*")</f>
        <v>0</v>
      </c>
      <c r="Y32" s="27">
        <f>SUMIFS(Dataset!$AJ:$AJ,Dataset!$F:$F,Resumen!Y$8,Dataset!$J:$J,"&gt;="&amp;$AC32,Dataset!$J:$J,"&lt;"&amp;$AD32,Dataset!$AH:$AH,"bono corporativo",Dataset!$T:$T,"UF",Dataset!$AC:$AC,"*AA*")</f>
        <v>0</v>
      </c>
      <c r="Z32" s="28">
        <f>SUMIFS(Dataset!$AA:$AA,Dataset!$F:$F,Resumen!Y$8,Dataset!$J:$J,"&gt;="&amp;$AC32,Dataset!$J:$J,"&lt;"&amp;$AD32,Dataset!$AH:$AH,"bono corporativo",Dataset!$T:$T,"UF",Dataset!$AC:$AC,"*AA*")</f>
        <v>0</v>
      </c>
      <c r="AA32" s="27">
        <f>SUMIFS(Dataset!$AJ:$AJ,Dataset!$F:$F,Resumen!AA$8,Dataset!$J:$J,"&gt;="&amp;$AC32,Dataset!$J:$J,"&lt;"&amp;$AD32,Dataset!$AH:$AH,"bono corporativo",Dataset!$T:$T,"UF",Dataset!$AC:$AC,"*AA*")</f>
        <v>0</v>
      </c>
      <c r="AB32" s="28">
        <f>SUMIFS(Dataset!$AA:$AA,Dataset!$F:$F,Resumen!AA$8,Dataset!$J:$J,"&gt;="&amp;$AC32,Dataset!$J:$J,"&lt;"&amp;$AD32,Dataset!$AH:$AH,"bono corporativo",Dataset!$T:$T,"UF",Dataset!$AC:$AC,"*AA*")</f>
        <v>0</v>
      </c>
      <c r="AC32" s="22">
        <v>5</v>
      </c>
      <c r="AD32" s="22">
        <v>10</v>
      </c>
      <c r="AH32" s="35"/>
    </row>
    <row r="33" spans="2:30" ht="30" customHeight="1" x14ac:dyDescent="0.3">
      <c r="B33" s="159"/>
      <c r="C33" s="158"/>
      <c r="D33" s="31" t="s">
        <v>122</v>
      </c>
      <c r="E33" s="29">
        <f>SUMIFS(Dataset!$AJ:$AJ,Dataset!$F:$F,Resumen!E$8,Dataset!$J:$J,"&gt;="&amp;$AC33,Dataset!$J:$J,"&lt;"&amp;$AD33,Dataset!$AH:$AH,"bono corporativo",Dataset!$T:$T,"UF",Dataset!$AC:$AC,"*AA*")</f>
        <v>0</v>
      </c>
      <c r="F33" s="30">
        <f>SUMIFS(Dataset!$AA:$AA,Dataset!$F:$F,Resumen!E$8,Dataset!$J:$J,"&gt;="&amp;$AC33,Dataset!$J:$J,"&lt;"&amp;$AD33,Dataset!$AH:$AH,"bono corporativo",Dataset!$T:$T,"UF",Dataset!$AC:$AC,"*AA*")</f>
        <v>0</v>
      </c>
      <c r="G33" s="29">
        <f>SUMIFS(Dataset!$AJ:$AJ,Dataset!$F:$F,Resumen!G$8,Dataset!$J:$J,"&gt;="&amp;$AC33,Dataset!$J:$J,"&lt;"&amp;$AD33,Dataset!$AH:$AH,"bono corporativo",Dataset!$T:$T,"UF",Dataset!$AC:$AC,"*AA*")</f>
        <v>0</v>
      </c>
      <c r="H33" s="30">
        <f>SUMIFS(Dataset!$AA:$AA,Dataset!$F:$F,Resumen!G$8,Dataset!$J:$J,"&gt;="&amp;$AC33,Dataset!$J:$J,"&lt;"&amp;$AD33,Dataset!$AH:$AH,"bono corporativo",Dataset!$T:$T,"UF",Dataset!$AC:$AC,"*AA*")</f>
        <v>0</v>
      </c>
      <c r="I33" s="29">
        <f>SUMIFS(Dataset!$AJ:$AJ,Dataset!$F:$F,Resumen!I$8,Dataset!$J:$J,"&gt;="&amp;$AC33,Dataset!$J:$J,"&lt;"&amp;$AD33,Dataset!$AH:$AH,"bono corporativo",Dataset!$T:$T,"UF",Dataset!$AC:$AC,"*AA*")</f>
        <v>0</v>
      </c>
      <c r="J33" s="30">
        <f>SUMIFS(Dataset!$AA:$AA,Dataset!$F:$F,Resumen!I$8,Dataset!$J:$J,"&gt;="&amp;$AC33,Dataset!$J:$J,"&lt;"&amp;$AD33,Dataset!$AH:$AH,"bono corporativo",Dataset!$T:$T,"UF",Dataset!$AC:$AC,"*AA*")</f>
        <v>0</v>
      </c>
      <c r="K33" s="29">
        <f>SUMIFS(Dataset!$AJ:$AJ,Dataset!$F:$F,Resumen!K$8,Dataset!$J:$J,"&gt;="&amp;$AC33,Dataset!$J:$J,"&lt;"&amp;$AD33,Dataset!$AH:$AH,"bono corporativo",Dataset!$T:$T,"UF",Dataset!$AC:$AC,"*AA*")</f>
        <v>0</v>
      </c>
      <c r="L33" s="30">
        <f>SUMIFS(Dataset!$AA:$AA,Dataset!$F:$F,Resumen!K$8,Dataset!$J:$J,"&gt;="&amp;$AC33,Dataset!$J:$J,"&lt;"&amp;$AD33,Dataset!$AH:$AH,"bono corporativo",Dataset!$T:$T,"UF",Dataset!$AC:$AC,"*AA*")</f>
        <v>0</v>
      </c>
      <c r="M33" s="29">
        <f>SUMIFS(Dataset!$AJ:$AJ,Dataset!$F:$F,Resumen!M$8,Dataset!$J:$J,"&gt;="&amp;$AC33,Dataset!$J:$J,"&lt;"&amp;$AD33,Dataset!$AH:$AH,"bono corporativo",Dataset!$T:$T,"UF",Dataset!$AC:$AC,"*AA*")</f>
        <v>3.8555000784610882E-2</v>
      </c>
      <c r="N33" s="30">
        <f>SUMIFS(Dataset!$AA:$AA,Dataset!$F:$F,Resumen!M$8,Dataset!$J:$J,"&gt;="&amp;$AC33,Dataset!$J:$J,"&lt;"&amp;$AD33,Dataset!$AH:$AH,"bono corporativo",Dataset!$T:$T,"UF",Dataset!$AC:$AC,"*AA*")</f>
        <v>-4.7165605166486716E-3</v>
      </c>
      <c r="O33" s="29">
        <f>SUMIFS(Dataset!$AJ:$AJ,Dataset!$F:$F,Resumen!O$8,Dataset!$J:$J,"&gt;="&amp;$AC33,Dataset!$J:$J,"&lt;"&amp;$AD33,Dataset!$AH:$AH,"bono corporativo",Dataset!$T:$T,"UF",Dataset!$AC:$AC,"*AA*")</f>
        <v>0</v>
      </c>
      <c r="P33" s="30">
        <f>SUMIFS(Dataset!$AA:$AA,Dataset!$F:$F,Resumen!O$8,Dataset!$J:$J,"&gt;="&amp;$AC33,Dataset!$J:$J,"&lt;"&amp;$AD33,Dataset!$AH:$AH,"bono corporativo",Dataset!$T:$T,"UF",Dataset!$AC:$AC,"*AA*")</f>
        <v>0</v>
      </c>
      <c r="Q33" s="29">
        <f>SUMIFS(Dataset!$AJ:$AJ,Dataset!$F:$F,Resumen!Q$8,Dataset!$J:$J,"&gt;="&amp;$AC33,Dataset!$J:$J,"&lt;"&amp;$AD33,Dataset!$AH:$AH,"bono corporativo",Dataset!$T:$T,"UF",Dataset!$AC:$AC,"*AA*")</f>
        <v>0</v>
      </c>
      <c r="R33" s="30">
        <f>SUMIFS(Dataset!$AA:$AA,Dataset!$F:$F,Resumen!Q$8,Dataset!$J:$J,"&gt;="&amp;$AC33,Dataset!$J:$J,"&lt;"&amp;$AD33,Dataset!$AH:$AH,"bono corporativo",Dataset!$T:$T,"UF",Dataset!$AC:$AC,"*AA*")</f>
        <v>0</v>
      </c>
      <c r="S33" s="29">
        <f>SUMIFS(Dataset!$AJ:$AJ,Dataset!$F:$F,Resumen!S$8,Dataset!$J:$J,"&gt;="&amp;$AC33,Dataset!$J:$J,"&lt;"&amp;$AD33,Dataset!$AH:$AH,"bono corporativo",Dataset!$T:$T,"UF",Dataset!$AC:$AC,"*AA*")</f>
        <v>0</v>
      </c>
      <c r="T33" s="30">
        <f>SUMIFS(Dataset!$AA:$AA,Dataset!$F:$F,Resumen!S$8,Dataset!$J:$J,"&gt;="&amp;$AC33,Dataset!$J:$J,"&lt;"&amp;$AD33,Dataset!$AH:$AH,"bono corporativo",Dataset!$T:$T,"UF",Dataset!$AC:$AC,"*AA*")</f>
        <v>0</v>
      </c>
      <c r="U33" s="29">
        <f>SUMIFS(Dataset!$AJ:$AJ,Dataset!$F:$F,Resumen!U$8,Dataset!$J:$J,"&gt;="&amp;$AC33,Dataset!$J:$J,"&lt;"&amp;$AD33,Dataset!$AH:$AH,"bono corporativo",Dataset!$T:$T,"UF",Dataset!$AC:$AC,"*AA*")</f>
        <v>0</v>
      </c>
      <c r="V33" s="30">
        <f>SUMIFS(Dataset!$AA:$AA,Dataset!$F:$F,Resumen!U$8,Dataset!$J:$J,"&gt;="&amp;$AC33,Dataset!$J:$J,"&lt;"&amp;$AD33,Dataset!$AH:$AH,"bono corporativo",Dataset!$T:$T,"UF",Dataset!$AC:$AC,"*AA*")</f>
        <v>0</v>
      </c>
      <c r="W33" s="29">
        <f>SUMIFS(Dataset!$AJ:$AJ,Dataset!$F:$F,Resumen!W$8,Dataset!$J:$J,"&gt;="&amp;$AC33,Dataset!$J:$J,"&lt;"&amp;$AD33,Dataset!$AH:$AH,"bono corporativo",Dataset!$T:$T,"UF",Dataset!$AC:$AC,"*AA*")</f>
        <v>0</v>
      </c>
      <c r="X33" s="30">
        <f>SUMIFS(Dataset!$AA:$AA,Dataset!$F:$F,Resumen!W$8,Dataset!$J:$J,"&gt;="&amp;$AC33,Dataset!$J:$J,"&lt;"&amp;$AD33,Dataset!$AH:$AH,"bono corporativo",Dataset!$T:$T,"UF",Dataset!$AC:$AC,"*AA*")</f>
        <v>0</v>
      </c>
      <c r="Y33" s="29">
        <f>SUMIFS(Dataset!$AJ:$AJ,Dataset!$F:$F,Resumen!Y$8,Dataset!$J:$J,"&gt;="&amp;$AC33,Dataset!$J:$J,"&lt;"&amp;$AD33,Dataset!$AH:$AH,"bono corporativo",Dataset!$T:$T,"UF",Dataset!$AC:$AC,"*AA*")</f>
        <v>0</v>
      </c>
      <c r="Z33" s="30">
        <f>SUMIFS(Dataset!$AA:$AA,Dataset!$F:$F,Resumen!Y$8,Dataset!$J:$J,"&gt;="&amp;$AC33,Dataset!$J:$J,"&lt;"&amp;$AD33,Dataset!$AH:$AH,"bono corporativo",Dataset!$T:$T,"UF",Dataset!$AC:$AC,"*AA*")</f>
        <v>0</v>
      </c>
      <c r="AA33" s="29">
        <f>SUMIFS(Dataset!$AJ:$AJ,Dataset!$F:$F,Resumen!AA$8,Dataset!$J:$J,"&gt;="&amp;$AC33,Dataset!$J:$J,"&lt;"&amp;$AD33,Dataset!$AH:$AH,"bono corporativo",Dataset!$T:$T,"UF",Dataset!$AC:$AC,"*AA*")</f>
        <v>0</v>
      </c>
      <c r="AB33" s="30">
        <f>SUMIFS(Dataset!$AA:$AA,Dataset!$F:$F,Resumen!AA$8,Dataset!$J:$J,"&gt;="&amp;$AC33,Dataset!$J:$J,"&lt;"&amp;$AD33,Dataset!$AH:$AH,"bono corporativo",Dataset!$T:$T,"UF",Dataset!$AC:$AC,"*AA*")</f>
        <v>0</v>
      </c>
      <c r="AC33" s="22">
        <v>10</v>
      </c>
      <c r="AD33" s="22">
        <v>100</v>
      </c>
    </row>
    <row r="34" spans="2:30" ht="30" customHeight="1" x14ac:dyDescent="0.3">
      <c r="B34" s="159"/>
      <c r="C34" s="158" t="s">
        <v>126</v>
      </c>
      <c r="D34" s="32" t="s">
        <v>119</v>
      </c>
      <c r="E34" s="33">
        <f>SUMIFS(Dataset!$AJ:$AJ,Dataset!$F:$F,Resumen!E$8,Dataset!$J:$J,"&gt;="&amp;$AC34,Dataset!$J:$J,"&lt;"&amp;$AD34,Dataset!$AH:$AH,"bono corporativo",Dataset!$T:$T,"UF",Dataset!$AC:$AC,"&lt;&gt;*AA*")</f>
        <v>2.1801991330049807E-2</v>
      </c>
      <c r="F34" s="34">
        <f>SUMIFS(Dataset!$AA:$AA,Dataset!$F:$F,Resumen!E$8,Dataset!$J:$J,"&gt;="&amp;$AC34,Dataset!$J:$J,"&lt;"&amp;$AD34,Dataset!$AH:$AH,"bono corporativo",Dataset!$T:$T,"UF",Dataset!$AC:$AC,"&lt;&gt;*AA*")</f>
        <v>-1.9390655852266701E-2</v>
      </c>
      <c r="G34" s="33">
        <f>SUMIFS(Dataset!$AJ:$AJ,Dataset!$F:$F,Resumen!G$8,Dataset!$J:$J,"&gt;="&amp;$AC34,Dataset!$J:$J,"&lt;"&amp;$AD34,Dataset!$AH:$AH,"bono corporativo",Dataset!$T:$T,"UF",Dataset!$AC:$AC,"&lt;&gt;*AA*")</f>
        <v>0</v>
      </c>
      <c r="H34" s="34">
        <f>SUMIFS(Dataset!$AA:$AA,Dataset!$F:$F,Resumen!G$8,Dataset!$J:$J,"&gt;="&amp;$AC34,Dataset!$J:$J,"&lt;"&amp;$AD34,Dataset!$AH:$AH,"bono corporativo",Dataset!$T:$T,"UF",Dataset!$AC:$AC,"&lt;&gt;*AA*")</f>
        <v>0</v>
      </c>
      <c r="I34" s="33">
        <f>SUMIFS(Dataset!$AJ:$AJ,Dataset!$F:$F,Resumen!I$8,Dataset!$J:$J,"&gt;="&amp;$AC34,Dataset!$J:$J,"&lt;"&amp;$AD34,Dataset!$AH:$AH,"bono corporativo",Dataset!$T:$T,"UF",Dataset!$AC:$AC,"&lt;&gt;*AA*")</f>
        <v>0</v>
      </c>
      <c r="J34" s="34">
        <f>SUMIFS(Dataset!$AA:$AA,Dataset!$F:$F,Resumen!I$8,Dataset!$J:$J,"&gt;="&amp;$AC34,Dataset!$J:$J,"&lt;"&amp;$AD34,Dataset!$AH:$AH,"bono corporativo",Dataset!$T:$T,"UF",Dataset!$AC:$AC,"&lt;&gt;*AA*")</f>
        <v>0</v>
      </c>
      <c r="K34" s="33">
        <f>SUMIFS(Dataset!$AJ:$AJ,Dataset!$F:$F,Resumen!K$8,Dataset!$J:$J,"&gt;="&amp;$AC34,Dataset!$J:$J,"&lt;"&amp;$AD34,Dataset!$AH:$AH,"bono corporativo",Dataset!$T:$T,"UF",Dataset!$AC:$AC,"&lt;&gt;*AA*")</f>
        <v>0</v>
      </c>
      <c r="L34" s="34">
        <f>SUMIFS(Dataset!$AA:$AA,Dataset!$F:$F,Resumen!K$8,Dataset!$J:$J,"&gt;="&amp;$AC34,Dataset!$J:$J,"&lt;"&amp;$AD34,Dataset!$AH:$AH,"bono corporativo",Dataset!$T:$T,"UF",Dataset!$AC:$AC,"&lt;&gt;*AA*")</f>
        <v>0</v>
      </c>
      <c r="M34" s="33">
        <f>SUMIFS(Dataset!$AJ:$AJ,Dataset!$F:$F,Resumen!M$8,Dataset!$J:$J,"&gt;="&amp;$AC34,Dataset!$J:$J,"&lt;"&amp;$AD34,Dataset!$AH:$AH,"bono corporativo",Dataset!$T:$T,"UF",Dataset!$AC:$AC,"&lt;&gt;*AA*")</f>
        <v>-0.129866360963173</v>
      </c>
      <c r="N34" s="34">
        <f>SUMIFS(Dataset!$AA:$AA,Dataset!$F:$F,Resumen!M$8,Dataset!$J:$J,"&gt;="&amp;$AC34,Dataset!$J:$J,"&lt;"&amp;$AD34,Dataset!$AH:$AH,"bono corporativo",Dataset!$T:$T,"UF",Dataset!$AC:$AC,"&lt;&gt;*AA*")</f>
        <v>0.10516469655285143</v>
      </c>
      <c r="O34" s="33">
        <f>SUMIFS(Dataset!$AJ:$AJ,Dataset!$F:$F,Resumen!O$8,Dataset!$J:$J,"&gt;="&amp;$AC34,Dataset!$J:$J,"&lt;"&amp;$AD34,Dataset!$AH:$AH,"bono corporativo",Dataset!$T:$T,"UF",Dataset!$AC:$AC,"&lt;&gt;*AA*")</f>
        <v>0</v>
      </c>
      <c r="P34" s="34">
        <f>SUMIFS(Dataset!$AA:$AA,Dataset!$F:$F,Resumen!O$8,Dataset!$J:$J,"&gt;="&amp;$AC34,Dataset!$J:$J,"&lt;"&amp;$AD34,Dataset!$AH:$AH,"bono corporativo",Dataset!$T:$T,"UF",Dataset!$AC:$AC,"&lt;&gt;*AA*")</f>
        <v>0</v>
      </c>
      <c r="Q34" s="33">
        <f>SUMIFS(Dataset!$AJ:$AJ,Dataset!$F:$F,Resumen!Q$8,Dataset!$J:$J,"&gt;="&amp;$AC34,Dataset!$J:$J,"&lt;"&amp;$AD34,Dataset!$AH:$AH,"bono corporativo",Dataset!$T:$T,"UF",Dataset!$AC:$AC,"&lt;&gt;*AA*")</f>
        <v>0</v>
      </c>
      <c r="R34" s="34">
        <f>SUMIFS(Dataset!$AA:$AA,Dataset!$F:$F,Resumen!Q$8,Dataset!$J:$J,"&gt;="&amp;$AC34,Dataset!$J:$J,"&lt;"&amp;$AD34,Dataset!$AH:$AH,"bono corporativo",Dataset!$T:$T,"UF",Dataset!$AC:$AC,"&lt;&gt;*AA*")</f>
        <v>0</v>
      </c>
      <c r="S34" s="33">
        <f>SUMIFS(Dataset!$AJ:$AJ,Dataset!$F:$F,Resumen!S$8,Dataset!$J:$J,"&gt;="&amp;$AC34,Dataset!$J:$J,"&lt;"&amp;$AD34,Dataset!$AH:$AH,"bono corporativo",Dataset!$T:$T,"UF",Dataset!$AC:$AC,"&lt;&gt;*AA*")</f>
        <v>0</v>
      </c>
      <c r="T34" s="34">
        <f>SUMIFS(Dataset!$AA:$AA,Dataset!$F:$F,Resumen!S$8,Dataset!$J:$J,"&gt;="&amp;$AC34,Dataset!$J:$J,"&lt;"&amp;$AD34,Dataset!$AH:$AH,"bono corporativo",Dataset!$T:$T,"UF",Dataset!$AC:$AC,"&lt;&gt;*AA*")</f>
        <v>0</v>
      </c>
      <c r="U34" s="33">
        <f>SUMIFS(Dataset!$AJ:$AJ,Dataset!$F:$F,Resumen!U$8,Dataset!$J:$J,"&gt;="&amp;$AC34,Dataset!$J:$J,"&lt;"&amp;$AD34,Dataset!$AH:$AH,"bono corporativo",Dataset!$T:$T,"UF",Dataset!$AC:$AC,"&lt;&gt;*AA*")</f>
        <v>0</v>
      </c>
      <c r="V34" s="34">
        <f>SUMIFS(Dataset!$AA:$AA,Dataset!$F:$F,Resumen!U$8,Dataset!$J:$J,"&gt;="&amp;$AC34,Dataset!$J:$J,"&lt;"&amp;$AD34,Dataset!$AH:$AH,"bono corporativo",Dataset!$T:$T,"UF",Dataset!$AC:$AC,"&lt;&gt;*AA*")</f>
        <v>0</v>
      </c>
      <c r="W34" s="33">
        <f>SUMIFS(Dataset!$AJ:$AJ,Dataset!$F:$F,Resumen!W$8,Dataset!$J:$J,"&gt;="&amp;$AC34,Dataset!$J:$J,"&lt;"&amp;$AD34,Dataset!$AH:$AH,"bono corporativo",Dataset!$T:$T,"UF",Dataset!$AC:$AC,"&lt;&gt;*AA*")</f>
        <v>0</v>
      </c>
      <c r="X34" s="34">
        <f>SUMIFS(Dataset!$AA:$AA,Dataset!$F:$F,Resumen!W$8,Dataset!$J:$J,"&gt;="&amp;$AC34,Dataset!$J:$J,"&lt;"&amp;$AD34,Dataset!$AH:$AH,"bono corporativo",Dataset!$T:$T,"UF",Dataset!$AC:$AC,"&lt;&gt;*AA*")</f>
        <v>0</v>
      </c>
      <c r="Y34" s="33">
        <f>SUMIFS(Dataset!$AJ:$AJ,Dataset!$F:$F,Resumen!Y$8,Dataset!$J:$J,"&gt;="&amp;$AC34,Dataset!$J:$J,"&lt;"&amp;$AD34,Dataset!$AH:$AH,"bono corporativo",Dataset!$T:$T,"UF",Dataset!$AC:$AC,"&lt;&gt;*AA*")</f>
        <v>0</v>
      </c>
      <c r="Z34" s="34">
        <f>SUMIFS(Dataset!$AA:$AA,Dataset!$F:$F,Resumen!Y$8,Dataset!$J:$J,"&gt;="&amp;$AC34,Dataset!$J:$J,"&lt;"&amp;$AD34,Dataset!$AH:$AH,"bono corporativo",Dataset!$T:$T,"UF",Dataset!$AC:$AC,"&lt;&gt;*AA*")</f>
        <v>0</v>
      </c>
      <c r="AA34" s="33">
        <f>SUMIFS(Dataset!$AJ:$AJ,Dataset!$F:$F,Resumen!AA$8,Dataset!$J:$J,"&gt;="&amp;$AC34,Dataset!$J:$J,"&lt;"&amp;$AD34,Dataset!$AH:$AH,"bono corporativo",Dataset!$T:$T,"UF",Dataset!$AC:$AC,"&lt;&gt;*AA*")</f>
        <v>0</v>
      </c>
      <c r="AB34" s="34">
        <f>SUMIFS(Dataset!$AA:$AA,Dataset!$F:$F,Resumen!AA$8,Dataset!$J:$J,"&gt;="&amp;$AC34,Dataset!$J:$J,"&lt;"&amp;$AD34,Dataset!$AH:$AH,"bono corporativo",Dataset!$T:$T,"UF",Dataset!$AC:$AC,"&lt;&gt;*AA*")</f>
        <v>0</v>
      </c>
      <c r="AC34" s="22">
        <v>0</v>
      </c>
      <c r="AD34" s="22">
        <v>3</v>
      </c>
    </row>
    <row r="35" spans="2:30" ht="30" customHeight="1" x14ac:dyDescent="0.3">
      <c r="B35" s="159"/>
      <c r="C35" s="158"/>
      <c r="D35" s="31" t="s">
        <v>120</v>
      </c>
      <c r="E35" s="27">
        <f>SUMIFS(Dataset!$AJ:$AJ,Dataset!$F:$F,Resumen!E$8,Dataset!$J:$J,"&gt;="&amp;$AC35,Dataset!$J:$J,"&lt;"&amp;$AD35,Dataset!$AH:$AH,"bono corporativo",Dataset!$T:$T,"UF",Dataset!$AC:$AC,"&lt;&gt;*AA*")</f>
        <v>2.8910425361687735E-2</v>
      </c>
      <c r="F35" s="28">
        <f>SUMIFS(Dataset!$AA:$AA,Dataset!$F:$F,Resumen!E$8,Dataset!$J:$J,"&gt;="&amp;$AC35,Dataset!$J:$J,"&lt;"&amp;$AD35,Dataset!$AH:$AH,"bono corporativo",Dataset!$T:$T,"UF",Dataset!$AC:$AC,"&lt;&gt;*AA*")</f>
        <v>-9.2234338954260992E-3</v>
      </c>
      <c r="G35" s="27">
        <f>SUMIFS(Dataset!$AJ:$AJ,Dataset!$F:$F,Resumen!G$8,Dataset!$J:$J,"&gt;="&amp;$AC35,Dataset!$J:$J,"&lt;"&amp;$AD35,Dataset!$AH:$AH,"bono corporativo",Dataset!$T:$T,"UF",Dataset!$AC:$AC,"&lt;&gt;*AA*")</f>
        <v>0</v>
      </c>
      <c r="H35" s="28">
        <f>SUMIFS(Dataset!$AA:$AA,Dataset!$F:$F,Resumen!G$8,Dataset!$J:$J,"&gt;="&amp;$AC35,Dataset!$J:$J,"&lt;"&amp;$AD35,Dataset!$AH:$AH,"bono corporativo",Dataset!$T:$T,"UF",Dataset!$AC:$AC,"&lt;&gt;*AA*")</f>
        <v>0</v>
      </c>
      <c r="I35" s="27">
        <f>SUMIFS(Dataset!$AJ:$AJ,Dataset!$F:$F,Resumen!I$8,Dataset!$J:$J,"&gt;="&amp;$AC35,Dataset!$J:$J,"&lt;"&amp;$AD35,Dataset!$AH:$AH,"bono corporativo",Dataset!$T:$T,"UF",Dataset!$AC:$AC,"&lt;&gt;*AA*")</f>
        <v>0</v>
      </c>
      <c r="J35" s="28">
        <f>SUMIFS(Dataset!$AA:$AA,Dataset!$F:$F,Resumen!I$8,Dataset!$J:$J,"&gt;="&amp;$AC35,Dataset!$J:$J,"&lt;"&amp;$AD35,Dataset!$AH:$AH,"bono corporativo",Dataset!$T:$T,"UF",Dataset!$AC:$AC,"&lt;&gt;*AA*")</f>
        <v>0</v>
      </c>
      <c r="K35" s="27">
        <f>SUMIFS(Dataset!$AJ:$AJ,Dataset!$F:$F,Resumen!K$8,Dataset!$J:$J,"&gt;="&amp;$AC35,Dataset!$J:$J,"&lt;"&amp;$AD35,Dataset!$AH:$AH,"bono corporativo",Dataset!$T:$T,"UF",Dataset!$AC:$AC,"&lt;&gt;*AA*")</f>
        <v>0</v>
      </c>
      <c r="L35" s="28">
        <f>SUMIFS(Dataset!$AA:$AA,Dataset!$F:$F,Resumen!K$8,Dataset!$J:$J,"&gt;="&amp;$AC35,Dataset!$J:$J,"&lt;"&amp;$AD35,Dataset!$AH:$AH,"bono corporativo",Dataset!$T:$T,"UF",Dataset!$AC:$AC,"&lt;&gt;*AA*")</f>
        <v>0</v>
      </c>
      <c r="M35" s="27">
        <f>SUMIFS(Dataset!$AJ:$AJ,Dataset!$F:$F,Resumen!M$8,Dataset!$J:$J,"&gt;="&amp;$AC35,Dataset!$J:$J,"&lt;"&amp;$AD35,Dataset!$AH:$AH,"bono corporativo",Dataset!$T:$T,"UF",Dataset!$AC:$AC,"&lt;&gt;*AA*")</f>
        <v>-0.17878738816491918</v>
      </c>
      <c r="N35" s="28">
        <f>SUMIFS(Dataset!$AA:$AA,Dataset!$F:$F,Resumen!M$8,Dataset!$J:$J,"&gt;="&amp;$AC35,Dataset!$J:$J,"&lt;"&amp;$AD35,Dataset!$AH:$AH,"bono corporativo",Dataset!$T:$T,"UF",Dataset!$AC:$AC,"&lt;&gt;*AA*")</f>
        <v>0.2984331025556079</v>
      </c>
      <c r="O35" s="27">
        <f>SUMIFS(Dataset!$AJ:$AJ,Dataset!$F:$F,Resumen!O$8,Dataset!$J:$J,"&gt;="&amp;$AC35,Dataset!$J:$J,"&lt;"&amp;$AD35,Dataset!$AH:$AH,"bono corporativo",Dataset!$T:$T,"UF",Dataset!$AC:$AC,"&lt;&gt;*AA*")</f>
        <v>0</v>
      </c>
      <c r="P35" s="28">
        <f>SUMIFS(Dataset!$AA:$AA,Dataset!$F:$F,Resumen!O$8,Dataset!$J:$J,"&gt;="&amp;$AC35,Dataset!$J:$J,"&lt;"&amp;$AD35,Dataset!$AH:$AH,"bono corporativo",Dataset!$T:$T,"UF",Dataset!$AC:$AC,"&lt;&gt;*AA*")</f>
        <v>0</v>
      </c>
      <c r="Q35" s="27">
        <f>SUMIFS(Dataset!$AJ:$AJ,Dataset!$F:$F,Resumen!Q$8,Dataset!$J:$J,"&gt;="&amp;$AC35,Dataset!$J:$J,"&lt;"&amp;$AD35,Dataset!$AH:$AH,"bono corporativo",Dataset!$T:$T,"UF",Dataset!$AC:$AC,"&lt;&gt;*AA*")</f>
        <v>0</v>
      </c>
      <c r="R35" s="28">
        <f>SUMIFS(Dataset!$AA:$AA,Dataset!$F:$F,Resumen!Q$8,Dataset!$J:$J,"&gt;="&amp;$AC35,Dataset!$J:$J,"&lt;"&amp;$AD35,Dataset!$AH:$AH,"bono corporativo",Dataset!$T:$T,"UF",Dataset!$AC:$AC,"&lt;&gt;*AA*")</f>
        <v>0</v>
      </c>
      <c r="S35" s="27">
        <f>SUMIFS(Dataset!$AJ:$AJ,Dataset!$F:$F,Resumen!S$8,Dataset!$J:$J,"&gt;="&amp;$AC35,Dataset!$J:$J,"&lt;"&amp;$AD35,Dataset!$AH:$AH,"bono corporativo",Dataset!$T:$T,"UF",Dataset!$AC:$AC,"&lt;&gt;*AA*")</f>
        <v>0</v>
      </c>
      <c r="T35" s="28">
        <f>SUMIFS(Dataset!$AA:$AA,Dataset!$F:$F,Resumen!S$8,Dataset!$J:$J,"&gt;="&amp;$AC35,Dataset!$J:$J,"&lt;"&amp;$AD35,Dataset!$AH:$AH,"bono corporativo",Dataset!$T:$T,"UF",Dataset!$AC:$AC,"&lt;&gt;*AA*")</f>
        <v>0</v>
      </c>
      <c r="U35" s="27">
        <f>SUMIFS(Dataset!$AJ:$AJ,Dataset!$F:$F,Resumen!U$8,Dataset!$J:$J,"&gt;="&amp;$AC35,Dataset!$J:$J,"&lt;"&amp;$AD35,Dataset!$AH:$AH,"bono corporativo",Dataset!$T:$T,"UF",Dataset!$AC:$AC,"&lt;&gt;*AA*")</f>
        <v>0</v>
      </c>
      <c r="V35" s="28">
        <f>SUMIFS(Dataset!$AA:$AA,Dataset!$F:$F,Resumen!U$8,Dataset!$J:$J,"&gt;="&amp;$AC35,Dataset!$J:$J,"&lt;"&amp;$AD35,Dataset!$AH:$AH,"bono corporativo",Dataset!$T:$T,"UF",Dataset!$AC:$AC,"&lt;&gt;*AA*")</f>
        <v>0</v>
      </c>
      <c r="W35" s="27">
        <f>SUMIFS(Dataset!$AJ:$AJ,Dataset!$F:$F,Resumen!W$8,Dataset!$J:$J,"&gt;="&amp;$AC35,Dataset!$J:$J,"&lt;"&amp;$AD35,Dataset!$AH:$AH,"bono corporativo",Dataset!$T:$T,"UF",Dataset!$AC:$AC,"&lt;&gt;*AA*")</f>
        <v>0</v>
      </c>
      <c r="X35" s="28">
        <f>SUMIFS(Dataset!$AA:$AA,Dataset!$F:$F,Resumen!W$8,Dataset!$J:$J,"&gt;="&amp;$AC35,Dataset!$J:$J,"&lt;"&amp;$AD35,Dataset!$AH:$AH,"bono corporativo",Dataset!$T:$T,"UF",Dataset!$AC:$AC,"&lt;&gt;*AA*")</f>
        <v>0</v>
      </c>
      <c r="Y35" s="27">
        <f>SUMIFS(Dataset!$AJ:$AJ,Dataset!$F:$F,Resumen!Y$8,Dataset!$J:$J,"&gt;="&amp;$AC35,Dataset!$J:$J,"&lt;"&amp;$AD35,Dataset!$AH:$AH,"bono corporativo",Dataset!$T:$T,"UF",Dataset!$AC:$AC,"&lt;&gt;*AA*")</f>
        <v>0</v>
      </c>
      <c r="Z35" s="28">
        <f>SUMIFS(Dataset!$AA:$AA,Dataset!$F:$F,Resumen!Y$8,Dataset!$J:$J,"&gt;="&amp;$AC35,Dataset!$J:$J,"&lt;"&amp;$AD35,Dataset!$AH:$AH,"bono corporativo",Dataset!$T:$T,"UF",Dataset!$AC:$AC,"&lt;&gt;*AA*")</f>
        <v>0</v>
      </c>
      <c r="AA35" s="27">
        <f>SUMIFS(Dataset!$AJ:$AJ,Dataset!$F:$F,Resumen!AA$8,Dataset!$J:$J,"&gt;="&amp;$AC35,Dataset!$J:$J,"&lt;"&amp;$AD35,Dataset!$AH:$AH,"bono corporativo",Dataset!$T:$T,"UF",Dataset!$AC:$AC,"&lt;&gt;*AA*")</f>
        <v>0</v>
      </c>
      <c r="AB35" s="28">
        <f>SUMIFS(Dataset!$AA:$AA,Dataset!$F:$F,Resumen!AA$8,Dataset!$J:$J,"&gt;="&amp;$AC35,Dataset!$J:$J,"&lt;"&amp;$AD35,Dataset!$AH:$AH,"bono corporativo",Dataset!$T:$T,"UF",Dataset!$AC:$AC,"&lt;&gt;*AA*")</f>
        <v>0</v>
      </c>
      <c r="AC35" s="22">
        <v>3</v>
      </c>
      <c r="AD35" s="22">
        <v>5</v>
      </c>
    </row>
    <row r="36" spans="2:30" ht="30" customHeight="1" x14ac:dyDescent="0.3">
      <c r="B36" s="159"/>
      <c r="C36" s="158"/>
      <c r="D36" s="31" t="s">
        <v>121</v>
      </c>
      <c r="E36" s="27">
        <f>SUMIFS(Dataset!$AJ:$AJ,Dataset!$F:$F,Resumen!E$8,Dataset!$J:$J,"&gt;="&amp;$AC36,Dataset!$J:$J,"&lt;"&amp;$AD36,Dataset!$AH:$AH,"bono corporativo",Dataset!$T:$T,"UF",Dataset!$AC:$AC,"&lt;&gt;*AA*")</f>
        <v>2.776252295155197E-2</v>
      </c>
      <c r="F36" s="28">
        <f>SUMIFS(Dataset!$AA:$AA,Dataset!$F:$F,Resumen!E$8,Dataset!$J:$J,"&gt;="&amp;$AC36,Dataset!$J:$J,"&lt;"&amp;$AD36,Dataset!$AH:$AH,"bono corporativo",Dataset!$T:$T,"UF",Dataset!$AC:$AC,"&lt;&gt;*AA*")</f>
        <v>2.3420092048094749E-3</v>
      </c>
      <c r="G36" s="27">
        <f>SUMIFS(Dataset!$AJ:$AJ,Dataset!$F:$F,Resumen!G$8,Dataset!$J:$J,"&gt;="&amp;$AC36,Dataset!$J:$J,"&lt;"&amp;$AD36,Dataset!$AH:$AH,"bono corporativo",Dataset!$T:$T,"UF",Dataset!$AC:$AC,"&lt;&gt;*AA*")</f>
        <v>0</v>
      </c>
      <c r="H36" s="28">
        <f>SUMIFS(Dataset!$AA:$AA,Dataset!$F:$F,Resumen!G$8,Dataset!$J:$J,"&gt;="&amp;$AC36,Dataset!$J:$J,"&lt;"&amp;$AD36,Dataset!$AH:$AH,"bono corporativo",Dataset!$T:$T,"UF",Dataset!$AC:$AC,"&lt;&gt;*AA*")</f>
        <v>0</v>
      </c>
      <c r="I36" s="27">
        <f>SUMIFS(Dataset!$AJ:$AJ,Dataset!$F:$F,Resumen!I$8,Dataset!$J:$J,"&gt;="&amp;$AC36,Dataset!$J:$J,"&lt;"&amp;$AD36,Dataset!$AH:$AH,"bono corporativo",Dataset!$T:$T,"UF",Dataset!$AC:$AC,"&lt;&gt;*AA*")</f>
        <v>0</v>
      </c>
      <c r="J36" s="28">
        <f>SUMIFS(Dataset!$AA:$AA,Dataset!$F:$F,Resumen!I$8,Dataset!$J:$J,"&gt;="&amp;$AC36,Dataset!$J:$J,"&lt;"&amp;$AD36,Dataset!$AH:$AH,"bono corporativo",Dataset!$T:$T,"UF",Dataset!$AC:$AC,"&lt;&gt;*AA*")</f>
        <v>0</v>
      </c>
      <c r="K36" s="27">
        <f>SUMIFS(Dataset!$AJ:$AJ,Dataset!$F:$F,Resumen!K$8,Dataset!$J:$J,"&gt;="&amp;$AC36,Dataset!$J:$J,"&lt;"&amp;$AD36,Dataset!$AH:$AH,"bono corporativo",Dataset!$T:$T,"UF",Dataset!$AC:$AC,"&lt;&gt;*AA*")</f>
        <v>0</v>
      </c>
      <c r="L36" s="28">
        <f>SUMIFS(Dataset!$AA:$AA,Dataset!$F:$F,Resumen!K$8,Dataset!$J:$J,"&gt;="&amp;$AC36,Dataset!$J:$J,"&lt;"&amp;$AD36,Dataset!$AH:$AH,"bono corporativo",Dataset!$T:$T,"UF",Dataset!$AC:$AC,"&lt;&gt;*AA*")</f>
        <v>0</v>
      </c>
      <c r="M36" s="27">
        <f>SUMIFS(Dataset!$AJ:$AJ,Dataset!$F:$F,Resumen!M$8,Dataset!$J:$J,"&gt;="&amp;$AC36,Dataset!$J:$J,"&lt;"&amp;$AD36,Dataset!$AH:$AH,"bono corporativo",Dataset!$T:$T,"UF",Dataset!$AC:$AC,"&lt;&gt;*AA*")</f>
        <v>-4.8739523015211436E-2</v>
      </c>
      <c r="N36" s="28">
        <f>SUMIFS(Dataset!$AA:$AA,Dataset!$F:$F,Resumen!M$8,Dataset!$J:$J,"&gt;="&amp;$AC36,Dataset!$J:$J,"&lt;"&amp;$AD36,Dataset!$AH:$AH,"bono corporativo",Dataset!$T:$T,"UF",Dataset!$AC:$AC,"&lt;&gt;*AA*")</f>
        <v>0.3743625809934264</v>
      </c>
      <c r="O36" s="27">
        <f>SUMIFS(Dataset!$AJ:$AJ,Dataset!$F:$F,Resumen!O$8,Dataset!$J:$J,"&gt;="&amp;$AC36,Dataset!$J:$J,"&lt;"&amp;$AD36,Dataset!$AH:$AH,"bono corporativo",Dataset!$T:$T,"UF",Dataset!$AC:$AC,"&lt;&gt;*AA*")</f>
        <v>0</v>
      </c>
      <c r="P36" s="28">
        <f>SUMIFS(Dataset!$AA:$AA,Dataset!$F:$F,Resumen!O$8,Dataset!$J:$J,"&gt;="&amp;$AC36,Dataset!$J:$J,"&lt;"&amp;$AD36,Dataset!$AH:$AH,"bono corporativo",Dataset!$T:$T,"UF",Dataset!$AC:$AC,"&lt;&gt;*AA*")</f>
        <v>0</v>
      </c>
      <c r="Q36" s="27">
        <f>SUMIFS(Dataset!$AJ:$AJ,Dataset!$F:$F,Resumen!Q$8,Dataset!$J:$J,"&gt;="&amp;$AC36,Dataset!$J:$J,"&lt;"&amp;$AD36,Dataset!$AH:$AH,"bono corporativo",Dataset!$T:$T,"UF",Dataset!$AC:$AC,"&lt;&gt;*AA*")</f>
        <v>0</v>
      </c>
      <c r="R36" s="28">
        <f>SUMIFS(Dataset!$AA:$AA,Dataset!$F:$F,Resumen!Q$8,Dataset!$J:$J,"&gt;="&amp;$AC36,Dataset!$J:$J,"&lt;"&amp;$AD36,Dataset!$AH:$AH,"bono corporativo",Dataset!$T:$T,"UF",Dataset!$AC:$AC,"&lt;&gt;*AA*")</f>
        <v>0</v>
      </c>
      <c r="S36" s="27">
        <f>SUMIFS(Dataset!$AJ:$AJ,Dataset!$F:$F,Resumen!S$8,Dataset!$J:$J,"&gt;="&amp;$AC36,Dataset!$J:$J,"&lt;"&amp;$AD36,Dataset!$AH:$AH,"bono corporativo",Dataset!$T:$T,"UF",Dataset!$AC:$AC,"&lt;&gt;*AA*")</f>
        <v>0</v>
      </c>
      <c r="T36" s="28">
        <f>SUMIFS(Dataset!$AA:$AA,Dataset!$F:$F,Resumen!S$8,Dataset!$J:$J,"&gt;="&amp;$AC36,Dataset!$J:$J,"&lt;"&amp;$AD36,Dataset!$AH:$AH,"bono corporativo",Dataset!$T:$T,"UF",Dataset!$AC:$AC,"&lt;&gt;*AA*")</f>
        <v>0</v>
      </c>
      <c r="U36" s="27">
        <f>SUMIFS(Dataset!$AJ:$AJ,Dataset!$F:$F,Resumen!U$8,Dataset!$J:$J,"&gt;="&amp;$AC36,Dataset!$J:$J,"&lt;"&amp;$AD36,Dataset!$AH:$AH,"bono corporativo",Dataset!$T:$T,"UF",Dataset!$AC:$AC,"&lt;&gt;*AA*")</f>
        <v>0</v>
      </c>
      <c r="V36" s="28">
        <f>SUMIFS(Dataset!$AA:$AA,Dataset!$F:$F,Resumen!U$8,Dataset!$J:$J,"&gt;="&amp;$AC36,Dataset!$J:$J,"&lt;"&amp;$AD36,Dataset!$AH:$AH,"bono corporativo",Dataset!$T:$T,"UF",Dataset!$AC:$AC,"&lt;&gt;*AA*")</f>
        <v>0</v>
      </c>
      <c r="W36" s="27">
        <f>SUMIFS(Dataset!$AJ:$AJ,Dataset!$F:$F,Resumen!W$8,Dataset!$J:$J,"&gt;="&amp;$AC36,Dataset!$J:$J,"&lt;"&amp;$AD36,Dataset!$AH:$AH,"bono corporativo",Dataset!$T:$T,"UF",Dataset!$AC:$AC,"&lt;&gt;*AA*")</f>
        <v>0</v>
      </c>
      <c r="X36" s="28">
        <f>SUMIFS(Dataset!$AA:$AA,Dataset!$F:$F,Resumen!W$8,Dataset!$J:$J,"&gt;="&amp;$AC36,Dataset!$J:$J,"&lt;"&amp;$AD36,Dataset!$AH:$AH,"bono corporativo",Dataset!$T:$T,"UF",Dataset!$AC:$AC,"&lt;&gt;*AA*")</f>
        <v>0</v>
      </c>
      <c r="Y36" s="27">
        <f>SUMIFS(Dataset!$AJ:$AJ,Dataset!$F:$F,Resumen!Y$8,Dataset!$J:$J,"&gt;="&amp;$AC36,Dataset!$J:$J,"&lt;"&amp;$AD36,Dataset!$AH:$AH,"bono corporativo",Dataset!$T:$T,"UF",Dataset!$AC:$AC,"&lt;&gt;*AA*")</f>
        <v>0</v>
      </c>
      <c r="Z36" s="28">
        <f>SUMIFS(Dataset!$AA:$AA,Dataset!$F:$F,Resumen!Y$8,Dataset!$J:$J,"&gt;="&amp;$AC36,Dataset!$J:$J,"&lt;"&amp;$AD36,Dataset!$AH:$AH,"bono corporativo",Dataset!$T:$T,"UF",Dataset!$AC:$AC,"&lt;&gt;*AA*")</f>
        <v>0</v>
      </c>
      <c r="AA36" s="27">
        <f>SUMIFS(Dataset!$AJ:$AJ,Dataset!$F:$F,Resumen!AA$8,Dataset!$J:$J,"&gt;="&amp;$AC36,Dataset!$J:$J,"&lt;"&amp;$AD36,Dataset!$AH:$AH,"bono corporativo",Dataset!$T:$T,"UF",Dataset!$AC:$AC,"&lt;&gt;*AA*")</f>
        <v>0</v>
      </c>
      <c r="AB36" s="28">
        <f>SUMIFS(Dataset!$AA:$AA,Dataset!$F:$F,Resumen!AA$8,Dataset!$J:$J,"&gt;="&amp;$AC36,Dataset!$J:$J,"&lt;"&amp;$AD36,Dataset!$AH:$AH,"bono corporativo",Dataset!$T:$T,"UF",Dataset!$AC:$AC,"&lt;&gt;*AA*")</f>
        <v>0</v>
      </c>
      <c r="AC36" s="22">
        <v>5</v>
      </c>
      <c r="AD36" s="22">
        <v>10</v>
      </c>
    </row>
    <row r="37" spans="2:30" ht="30" customHeight="1" x14ac:dyDescent="0.3">
      <c r="B37" s="159"/>
      <c r="C37" s="158"/>
      <c r="D37" s="31" t="s">
        <v>122</v>
      </c>
      <c r="E37" s="29">
        <f>SUMIFS(Dataset!$AJ:$AJ,Dataset!$F:$F,Resumen!E$8,Dataset!$J:$J,"&gt;="&amp;$AC37,Dataset!$J:$J,"&lt;"&amp;$AD37,Dataset!$AH:$AH,"bono corporativo",Dataset!$T:$T,"UF",Dataset!$AC:$AC,"&lt;&gt;*AA*")</f>
        <v>0</v>
      </c>
      <c r="F37" s="30">
        <f>SUMIFS(Dataset!$AA:$AA,Dataset!$F:$F,Resumen!E$8,Dataset!$J:$J,"&gt;="&amp;$AC37,Dataset!$J:$J,"&lt;"&amp;$AD37,Dataset!$AH:$AH,"bono corporativo",Dataset!$T:$T,"UF",Dataset!$AC:$AC,"&lt;&gt;*AA*")</f>
        <v>0</v>
      </c>
      <c r="G37" s="29">
        <f>SUMIFS(Dataset!$AJ:$AJ,Dataset!$F:$F,Resumen!G$8,Dataset!$J:$J,"&gt;="&amp;$AC37,Dataset!$J:$J,"&lt;"&amp;$AD37,Dataset!$AH:$AH,"bono corporativo",Dataset!$T:$T,"UF",Dataset!$AC:$AC,"&lt;&gt;*AA*")</f>
        <v>0</v>
      </c>
      <c r="H37" s="30">
        <f>SUMIFS(Dataset!$AA:$AA,Dataset!$F:$F,Resumen!G$8,Dataset!$J:$J,"&gt;="&amp;$AC37,Dataset!$J:$J,"&lt;"&amp;$AD37,Dataset!$AH:$AH,"bono corporativo",Dataset!$T:$T,"UF",Dataset!$AC:$AC,"&lt;&gt;*AA*")</f>
        <v>0</v>
      </c>
      <c r="I37" s="29">
        <f>SUMIFS(Dataset!$AJ:$AJ,Dataset!$F:$F,Resumen!I$8,Dataset!$J:$J,"&gt;="&amp;$AC37,Dataset!$J:$J,"&lt;"&amp;$AD37,Dataset!$AH:$AH,"bono corporativo",Dataset!$T:$T,"UF",Dataset!$AC:$AC,"&lt;&gt;*AA*")</f>
        <v>0</v>
      </c>
      <c r="J37" s="30">
        <f>SUMIFS(Dataset!$AA:$AA,Dataset!$F:$F,Resumen!I$8,Dataset!$J:$J,"&gt;="&amp;$AC37,Dataset!$J:$J,"&lt;"&amp;$AD37,Dataset!$AH:$AH,"bono corporativo",Dataset!$T:$T,"UF",Dataset!$AC:$AC,"&lt;&gt;*AA*")</f>
        <v>0</v>
      </c>
      <c r="K37" s="29">
        <f>SUMIFS(Dataset!$AJ:$AJ,Dataset!$F:$F,Resumen!K$8,Dataset!$J:$J,"&gt;="&amp;$AC37,Dataset!$J:$J,"&lt;"&amp;$AD37,Dataset!$AH:$AH,"bono corporativo",Dataset!$T:$T,"UF",Dataset!$AC:$AC,"&lt;&gt;*AA*")</f>
        <v>0</v>
      </c>
      <c r="L37" s="30">
        <f>SUMIFS(Dataset!$AA:$AA,Dataset!$F:$F,Resumen!K$8,Dataset!$J:$J,"&gt;="&amp;$AC37,Dataset!$J:$J,"&lt;"&amp;$AD37,Dataset!$AH:$AH,"bono corporativo",Dataset!$T:$T,"UF",Dataset!$AC:$AC,"&lt;&gt;*AA*")</f>
        <v>0</v>
      </c>
      <c r="M37" s="29">
        <f>SUMIFS(Dataset!$AJ:$AJ,Dataset!$F:$F,Resumen!M$8,Dataset!$J:$J,"&gt;="&amp;$AC37,Dataset!$J:$J,"&lt;"&amp;$AD37,Dataset!$AH:$AH,"bono corporativo",Dataset!$T:$T,"UF",Dataset!$AC:$AC,"&lt;&gt;*AA*")</f>
        <v>-6.2325816662144776E-2</v>
      </c>
      <c r="N37" s="30">
        <f>SUMIFS(Dataset!$AA:$AA,Dataset!$F:$F,Resumen!M$8,Dataset!$J:$J,"&gt;="&amp;$AC37,Dataset!$J:$J,"&lt;"&amp;$AD37,Dataset!$AH:$AH,"bono corporativo",Dataset!$T:$T,"UF",Dataset!$AC:$AC,"&lt;&gt;*AA*")</f>
        <v>0.13753065940520651</v>
      </c>
      <c r="O37" s="29">
        <f>SUMIFS(Dataset!$AJ:$AJ,Dataset!$F:$F,Resumen!O$8,Dataset!$J:$J,"&gt;="&amp;$AC37,Dataset!$J:$J,"&lt;"&amp;$AD37,Dataset!$AH:$AH,"bono corporativo",Dataset!$T:$T,"UF",Dataset!$AC:$AC,"&lt;&gt;*AA*")</f>
        <v>0</v>
      </c>
      <c r="P37" s="30">
        <f>SUMIFS(Dataset!$AA:$AA,Dataset!$F:$F,Resumen!O$8,Dataset!$J:$J,"&gt;="&amp;$AC37,Dataset!$J:$J,"&lt;"&amp;$AD37,Dataset!$AH:$AH,"bono corporativo",Dataset!$T:$T,"UF",Dataset!$AC:$AC,"&lt;&gt;*AA*")</f>
        <v>0</v>
      </c>
      <c r="Q37" s="29">
        <f>SUMIFS(Dataset!$AJ:$AJ,Dataset!$F:$F,Resumen!Q$8,Dataset!$J:$J,"&gt;="&amp;$AC37,Dataset!$J:$J,"&lt;"&amp;$AD37,Dataset!$AH:$AH,"bono corporativo",Dataset!$T:$T,"UF",Dataset!$AC:$AC,"&lt;&gt;*AA*")</f>
        <v>0</v>
      </c>
      <c r="R37" s="30">
        <f>SUMIFS(Dataset!$AA:$AA,Dataset!$F:$F,Resumen!Q$8,Dataset!$J:$J,"&gt;="&amp;$AC37,Dataset!$J:$J,"&lt;"&amp;$AD37,Dataset!$AH:$AH,"bono corporativo",Dataset!$T:$T,"UF",Dataset!$AC:$AC,"&lt;&gt;*AA*")</f>
        <v>0</v>
      </c>
      <c r="S37" s="29">
        <f>SUMIFS(Dataset!$AJ:$AJ,Dataset!$F:$F,Resumen!S$8,Dataset!$J:$J,"&gt;="&amp;$AC37,Dataset!$J:$J,"&lt;"&amp;$AD37,Dataset!$AH:$AH,"bono corporativo",Dataset!$T:$T,"UF",Dataset!$AC:$AC,"&lt;&gt;*AA*")</f>
        <v>0</v>
      </c>
      <c r="T37" s="30">
        <f>SUMIFS(Dataset!$AA:$AA,Dataset!$F:$F,Resumen!S$8,Dataset!$J:$J,"&gt;="&amp;$AC37,Dataset!$J:$J,"&lt;"&amp;$AD37,Dataset!$AH:$AH,"bono corporativo",Dataset!$T:$T,"UF",Dataset!$AC:$AC,"&lt;&gt;*AA*")</f>
        <v>0</v>
      </c>
      <c r="U37" s="29">
        <f>SUMIFS(Dataset!$AJ:$AJ,Dataset!$F:$F,Resumen!U$8,Dataset!$J:$J,"&gt;="&amp;$AC37,Dataset!$J:$J,"&lt;"&amp;$AD37,Dataset!$AH:$AH,"bono corporativo",Dataset!$T:$T,"UF",Dataset!$AC:$AC,"&lt;&gt;*AA*")</f>
        <v>0</v>
      </c>
      <c r="V37" s="30">
        <f>SUMIFS(Dataset!$AA:$AA,Dataset!$F:$F,Resumen!U$8,Dataset!$J:$J,"&gt;="&amp;$AC37,Dataset!$J:$J,"&lt;"&amp;$AD37,Dataset!$AH:$AH,"bono corporativo",Dataset!$T:$T,"UF",Dataset!$AC:$AC,"&lt;&gt;*AA*")</f>
        <v>0</v>
      </c>
      <c r="W37" s="29">
        <f>SUMIFS(Dataset!$AJ:$AJ,Dataset!$F:$F,Resumen!W$8,Dataset!$J:$J,"&gt;="&amp;$AC37,Dataset!$J:$J,"&lt;"&amp;$AD37,Dataset!$AH:$AH,"bono corporativo",Dataset!$T:$T,"UF",Dataset!$AC:$AC,"&lt;&gt;*AA*")</f>
        <v>0</v>
      </c>
      <c r="X37" s="30">
        <f>SUMIFS(Dataset!$AA:$AA,Dataset!$F:$F,Resumen!W$8,Dataset!$J:$J,"&gt;="&amp;$AC37,Dataset!$J:$J,"&lt;"&amp;$AD37,Dataset!$AH:$AH,"bono corporativo",Dataset!$T:$T,"UF",Dataset!$AC:$AC,"&lt;&gt;*AA*")</f>
        <v>0</v>
      </c>
      <c r="Y37" s="29">
        <f>SUMIFS(Dataset!$AJ:$AJ,Dataset!$F:$F,Resumen!Y$8,Dataset!$J:$J,"&gt;="&amp;$AC37,Dataset!$J:$J,"&lt;"&amp;$AD37,Dataset!$AH:$AH,"bono corporativo",Dataset!$T:$T,"UF",Dataset!$AC:$AC,"&lt;&gt;*AA*")</f>
        <v>0</v>
      </c>
      <c r="Z37" s="30">
        <f>SUMIFS(Dataset!$AA:$AA,Dataset!$F:$F,Resumen!Y$8,Dataset!$J:$J,"&gt;="&amp;$AC37,Dataset!$J:$J,"&lt;"&amp;$AD37,Dataset!$AH:$AH,"bono corporativo",Dataset!$T:$T,"UF",Dataset!$AC:$AC,"&lt;&gt;*AA*")</f>
        <v>0</v>
      </c>
      <c r="AA37" s="29">
        <f>SUMIFS(Dataset!$AJ:$AJ,Dataset!$F:$F,Resumen!AA$8,Dataset!$J:$J,"&gt;="&amp;$AC37,Dataset!$J:$J,"&lt;"&amp;$AD37,Dataset!$AH:$AH,"bono corporativo",Dataset!$T:$T,"UF",Dataset!$AC:$AC,"&lt;&gt;*AA*")</f>
        <v>0</v>
      </c>
      <c r="AB37" s="30">
        <f>SUMIFS(Dataset!$AA:$AA,Dataset!$F:$F,Resumen!AA$8,Dataset!$J:$J,"&gt;="&amp;$AC37,Dataset!$J:$J,"&lt;"&amp;$AD37,Dataset!$AH:$AH,"bono corporativo",Dataset!$T:$T,"UF",Dataset!$AC:$AC,"&lt;&gt;*AA*")</f>
        <v>0</v>
      </c>
      <c r="AC37" s="22">
        <v>10</v>
      </c>
      <c r="AD37" s="22">
        <v>100</v>
      </c>
    </row>
    <row r="38" spans="2:30" ht="30" customHeight="1" x14ac:dyDescent="0.3">
      <c r="B38" s="159" t="s">
        <v>127</v>
      </c>
      <c r="C38" s="158" t="s">
        <v>125</v>
      </c>
      <c r="D38" s="31" t="s">
        <v>119</v>
      </c>
      <c r="E38" s="24">
        <f>SUMIFS(Dataset!$AJ:$AJ,Dataset!$F:$F,Resumen!E$8,Dataset!$J:$J,"&gt;="&amp;$AC38,Dataset!$J:$J,"&lt;"&amp;$AD38,Dataset!$AH:$AH,"bono corporativo",Dataset!$T:$T,"&lt;&gt;UF",Dataset!$T:$T,"&lt;&gt;$",Dataset!$AC:$AC,"*AA*")</f>
        <v>0</v>
      </c>
      <c r="F38" s="25">
        <f>SUMIFS(Dataset!$AA:$AA,Dataset!$F:$F,Resumen!E$8,Dataset!$J:$J,"&gt;="&amp;$AC38,Dataset!$J:$J,"&lt;"&amp;$AD38,Dataset!$AH:$AH,"bono corporativo",Dataset!$T:$T,"&lt;&gt;UF",Dataset!$T:$T,"&lt;&gt;$",Dataset!$AC:$AC,"*AA*")</f>
        <v>0</v>
      </c>
      <c r="G38" s="24">
        <f>SUMIFS(Dataset!$AJ:$AJ,Dataset!$F:$F,Resumen!G$8,Dataset!$J:$J,"&gt;="&amp;$AC38,Dataset!$J:$J,"&lt;"&amp;$AD38,Dataset!$AH:$AH,"bono corporativo",Dataset!$T:$T,"&lt;&gt;UF",Dataset!$T:$T,"&lt;&gt;$",Dataset!$AC:$AC,"*AA*")</f>
        <v>0</v>
      </c>
      <c r="H38" s="25">
        <f>SUMIFS(Dataset!$AA:$AA,Dataset!$F:$F,Resumen!G$8,Dataset!$J:$J,"&gt;="&amp;$AC38,Dataset!$J:$J,"&lt;"&amp;$AD38,Dataset!$AH:$AH,"bono corporativo",Dataset!$T:$T,"&lt;&gt;UF",Dataset!$T:$T,"&lt;&gt;$",Dataset!$AC:$AC,"*AA*")</f>
        <v>0</v>
      </c>
      <c r="I38" s="24">
        <f>SUMIFS(Dataset!$AJ:$AJ,Dataset!$F:$F,Resumen!I$8,Dataset!$J:$J,"&gt;="&amp;$AC38,Dataset!$J:$J,"&lt;"&amp;$AD38,Dataset!$AH:$AH,"bono corporativo",Dataset!$T:$T,"&lt;&gt;UF",Dataset!$T:$T,"&lt;&gt;$",Dataset!$AC:$AC,"*AA*")</f>
        <v>0</v>
      </c>
      <c r="J38" s="25">
        <f>SUMIFS(Dataset!$AA:$AA,Dataset!$F:$F,Resumen!I$8,Dataset!$J:$J,"&gt;="&amp;$AC38,Dataset!$J:$J,"&lt;"&amp;$AD38,Dataset!$AH:$AH,"bono corporativo",Dataset!$T:$T,"&lt;&gt;UF",Dataset!$T:$T,"&lt;&gt;$",Dataset!$AC:$AC,"*AA*")</f>
        <v>0</v>
      </c>
      <c r="K38" s="24">
        <f>SUMIFS(Dataset!$AJ:$AJ,Dataset!$F:$F,Resumen!K$8,Dataset!$J:$J,"&gt;="&amp;$AC38,Dataset!$J:$J,"&lt;"&amp;$AD38,Dataset!$AH:$AH,"bono corporativo",Dataset!$T:$T,"&lt;&gt;UF",Dataset!$T:$T,"&lt;&gt;$",Dataset!$AC:$AC,"*AA*")</f>
        <v>0</v>
      </c>
      <c r="L38" s="25">
        <f>SUMIFS(Dataset!$AA:$AA,Dataset!$F:$F,Resumen!K$8,Dataset!$J:$J,"&gt;="&amp;$AC38,Dataset!$J:$J,"&lt;"&amp;$AD38,Dataset!$AH:$AH,"bono corporativo",Dataset!$T:$T,"&lt;&gt;UF",Dataset!$T:$T,"&lt;&gt;$",Dataset!$AC:$AC,"*AA*")</f>
        <v>0</v>
      </c>
      <c r="M38" s="24">
        <f>SUMIFS(Dataset!$AJ:$AJ,Dataset!$F:$F,Resumen!M$8,Dataset!$J:$J,"&gt;="&amp;$AC38,Dataset!$J:$J,"&lt;"&amp;$AD38,Dataset!$AH:$AH,"bono corporativo",Dataset!$T:$T,"&lt;&gt;UF",Dataset!$T:$T,"&lt;&gt;$",Dataset!$AC:$AC,"*AA*")</f>
        <v>0</v>
      </c>
      <c r="N38" s="25">
        <f>SUMIFS(Dataset!$AA:$AA,Dataset!$F:$F,Resumen!M$8,Dataset!$J:$J,"&gt;="&amp;$AC38,Dataset!$J:$J,"&lt;"&amp;$AD38,Dataset!$AH:$AH,"bono corporativo",Dataset!$T:$T,"&lt;&gt;UF",Dataset!$T:$T,"&lt;&gt;$",Dataset!$AC:$AC,"*AA*")</f>
        <v>0</v>
      </c>
      <c r="O38" s="24">
        <f>SUMIFS(Dataset!$AJ:$AJ,Dataset!$F:$F,Resumen!O$8,Dataset!$J:$J,"&gt;="&amp;$AC38,Dataset!$J:$J,"&lt;"&amp;$AD38,Dataset!$AH:$AH,"bono corporativo",Dataset!$T:$T,"&lt;&gt;UF",Dataset!$T:$T,"&lt;&gt;$",Dataset!$AC:$AC,"*AA*")</f>
        <v>0</v>
      </c>
      <c r="P38" s="25">
        <f>SUMIFS(Dataset!$AA:$AA,Dataset!$F:$F,Resumen!O$8,Dataset!$J:$J,"&gt;="&amp;$AC38,Dataset!$J:$J,"&lt;"&amp;$AD38,Dataset!$AH:$AH,"bono corporativo",Dataset!$T:$T,"&lt;&gt;UF",Dataset!$T:$T,"&lt;&gt;$",Dataset!$AC:$AC,"*AA*")</f>
        <v>0</v>
      </c>
      <c r="Q38" s="24">
        <f>SUMIFS(Dataset!$AJ:$AJ,Dataset!$F:$F,Resumen!Q$8,Dataset!$J:$J,"&gt;="&amp;$AC38,Dataset!$J:$J,"&lt;"&amp;$AD38,Dataset!$AH:$AH,"bono corporativo",Dataset!$T:$T,"&lt;&gt;UF",Dataset!$T:$T,"&lt;&gt;$",Dataset!$AC:$AC,"*AA*")</f>
        <v>0</v>
      </c>
      <c r="R38" s="25">
        <f>SUMIFS(Dataset!$AA:$AA,Dataset!$F:$F,Resumen!Q$8,Dataset!$J:$J,"&gt;="&amp;$AC38,Dataset!$J:$J,"&lt;"&amp;$AD38,Dataset!$AH:$AH,"bono corporativo",Dataset!$T:$T,"&lt;&gt;UF",Dataset!$T:$T,"&lt;&gt;$",Dataset!$AC:$AC,"*AA*")</f>
        <v>0</v>
      </c>
      <c r="S38" s="24">
        <f>SUMIFS(Dataset!$AJ:$AJ,Dataset!$F:$F,Resumen!S$8,Dataset!$J:$J,"&gt;="&amp;$AC38,Dataset!$J:$J,"&lt;"&amp;$AD38,Dataset!$AH:$AH,"bono corporativo",Dataset!$T:$T,"&lt;&gt;UF",Dataset!$T:$T,"&lt;&gt;$",Dataset!$AC:$AC,"*AA*")</f>
        <v>0</v>
      </c>
      <c r="T38" s="25">
        <f>SUMIFS(Dataset!$AA:$AA,Dataset!$F:$F,Resumen!S$8,Dataset!$J:$J,"&gt;="&amp;$AC38,Dataset!$J:$J,"&lt;"&amp;$AD38,Dataset!$AH:$AH,"bono corporativo",Dataset!$T:$T,"&lt;&gt;UF",Dataset!$T:$T,"&lt;&gt;$",Dataset!$AC:$AC,"*AA*")</f>
        <v>0</v>
      </c>
      <c r="U38" s="24">
        <f>SUMIFS(Dataset!$AJ:$AJ,Dataset!$F:$F,Resumen!U$8,Dataset!$J:$J,"&gt;="&amp;$AC38,Dataset!$J:$J,"&lt;"&amp;$AD38,Dataset!$AH:$AH,"bono corporativo",Dataset!$T:$T,"&lt;&gt;UF",Dataset!$T:$T,"&lt;&gt;$",Dataset!$AC:$AC,"*AA*")</f>
        <v>0</v>
      </c>
      <c r="V38" s="25">
        <f>SUMIFS(Dataset!$AA:$AA,Dataset!$F:$F,Resumen!U$8,Dataset!$J:$J,"&gt;="&amp;$AC38,Dataset!$J:$J,"&lt;"&amp;$AD38,Dataset!$AH:$AH,"bono corporativo",Dataset!$T:$T,"&lt;&gt;UF",Dataset!$T:$T,"&lt;&gt;$",Dataset!$AC:$AC,"*AA*")</f>
        <v>0</v>
      </c>
      <c r="W38" s="24">
        <f>SUMIFS(Dataset!$AJ:$AJ,Dataset!$F:$F,Resumen!W$8,Dataset!$J:$J,"&gt;="&amp;$AC38,Dataset!$J:$J,"&lt;"&amp;$AD38,Dataset!$AH:$AH,"bono corporativo",Dataset!$T:$T,"&lt;&gt;UF",Dataset!$T:$T,"&lt;&gt;$",Dataset!$AC:$AC,"*AA*")</f>
        <v>0</v>
      </c>
      <c r="X38" s="25">
        <f>SUMIFS(Dataset!$AA:$AA,Dataset!$F:$F,Resumen!W$8,Dataset!$J:$J,"&gt;="&amp;$AC38,Dataset!$J:$J,"&lt;"&amp;$AD38,Dataset!$AH:$AH,"bono corporativo",Dataset!$T:$T,"&lt;&gt;UF",Dataset!$T:$T,"&lt;&gt;$",Dataset!$AC:$AC,"*AA*")</f>
        <v>0</v>
      </c>
      <c r="Y38" s="24">
        <f>SUMIFS(Dataset!$AJ:$AJ,Dataset!$F:$F,Resumen!Y$8,Dataset!$J:$J,"&gt;="&amp;$AC38,Dataset!$J:$J,"&lt;"&amp;$AD38,Dataset!$AH:$AH,"bono corporativo",Dataset!$T:$T,"&lt;&gt;UF",Dataset!$T:$T,"&lt;&gt;$",Dataset!$AC:$AC,"*AA*")</f>
        <v>0</v>
      </c>
      <c r="Z38" s="25">
        <f>SUMIFS(Dataset!$AA:$AA,Dataset!$F:$F,Resumen!Y$8,Dataset!$J:$J,"&gt;="&amp;$AC38,Dataset!$J:$J,"&lt;"&amp;$AD38,Dataset!$AH:$AH,"bono corporativo",Dataset!$T:$T,"&lt;&gt;UF",Dataset!$T:$T,"&lt;&gt;$",Dataset!$AC:$AC,"*AA*")</f>
        <v>0</v>
      </c>
      <c r="AA38" s="24">
        <f>SUMIFS(Dataset!$AJ:$AJ,Dataset!$F:$F,Resumen!AA$8,Dataset!$J:$J,"&gt;="&amp;$AC38,Dataset!$J:$J,"&lt;"&amp;$AD38,Dataset!$AH:$AH,"bono corporativo",Dataset!$T:$T,"&lt;&gt;UF",Dataset!$T:$T,"&lt;&gt;$",Dataset!$AC:$AC,"*AA*")</f>
        <v>0</v>
      </c>
      <c r="AB38" s="25">
        <f>SUMIFS(Dataset!$AA:$AA,Dataset!$F:$F,Resumen!AA$8,Dataset!$J:$J,"&gt;="&amp;$AC38,Dataset!$J:$J,"&lt;"&amp;$AD38,Dataset!$AH:$AH,"bono corporativo",Dataset!$T:$T,"&lt;&gt;UF",Dataset!$T:$T,"&lt;&gt;$",Dataset!$AC:$AC,"*AA*")</f>
        <v>0</v>
      </c>
      <c r="AC38" s="22">
        <v>0</v>
      </c>
      <c r="AD38" s="22">
        <v>3</v>
      </c>
    </row>
    <row r="39" spans="2:30" ht="30" customHeight="1" x14ac:dyDescent="0.3">
      <c r="B39" s="159"/>
      <c r="C39" s="158"/>
      <c r="D39" s="31" t="s">
        <v>120</v>
      </c>
      <c r="E39" s="27">
        <f>SUMIFS(Dataset!$AJ:$AJ,Dataset!$F:$F,Resumen!E$8,Dataset!$J:$J,"&gt;="&amp;$AC39,Dataset!$J:$J,"&lt;"&amp;$AD39,Dataset!$AH:$AH,"bono corporativo",Dataset!$T:$T,"&lt;&gt;UF",Dataset!$T:$T,"&lt;&gt;$",Dataset!$AC:$AC,"*AA*")</f>
        <v>0</v>
      </c>
      <c r="F39" s="28">
        <f>SUMIFS(Dataset!$AA:$AA,Dataset!$F:$F,Resumen!E$8,Dataset!$J:$J,"&gt;="&amp;$AC39,Dataset!$J:$J,"&lt;"&amp;$AD39,Dataset!$AH:$AH,"bono corporativo",Dataset!$T:$T,"&lt;&gt;UF",Dataset!$T:$T,"&lt;&gt;$",Dataset!$AC:$AC,"*AA*")</f>
        <v>0</v>
      </c>
      <c r="G39" s="27">
        <f>SUMIFS(Dataset!$AJ:$AJ,Dataset!$F:$F,Resumen!G$8,Dataset!$J:$J,"&gt;="&amp;$AC39,Dataset!$J:$J,"&lt;"&amp;$AD39,Dataset!$AH:$AH,"bono corporativo",Dataset!$T:$T,"&lt;&gt;UF",Dataset!$T:$T,"&lt;&gt;$",Dataset!$AC:$AC,"*AA*")</f>
        <v>0</v>
      </c>
      <c r="H39" s="28">
        <f>SUMIFS(Dataset!$AA:$AA,Dataset!$F:$F,Resumen!G$8,Dataset!$J:$J,"&gt;="&amp;$AC39,Dataset!$J:$J,"&lt;"&amp;$AD39,Dataset!$AH:$AH,"bono corporativo",Dataset!$T:$T,"&lt;&gt;UF",Dataset!$T:$T,"&lt;&gt;$",Dataset!$AC:$AC,"*AA*")</f>
        <v>0</v>
      </c>
      <c r="I39" s="27">
        <f>SUMIFS(Dataset!$AJ:$AJ,Dataset!$F:$F,Resumen!I$8,Dataset!$J:$J,"&gt;="&amp;$AC39,Dataset!$J:$J,"&lt;"&amp;$AD39,Dataset!$AH:$AH,"bono corporativo",Dataset!$T:$T,"&lt;&gt;UF",Dataset!$T:$T,"&lt;&gt;$",Dataset!$AC:$AC,"*AA*")</f>
        <v>0</v>
      </c>
      <c r="J39" s="28">
        <f>SUMIFS(Dataset!$AA:$AA,Dataset!$F:$F,Resumen!I$8,Dataset!$J:$J,"&gt;="&amp;$AC39,Dataset!$J:$J,"&lt;"&amp;$AD39,Dataset!$AH:$AH,"bono corporativo",Dataset!$T:$T,"&lt;&gt;UF",Dataset!$T:$T,"&lt;&gt;$",Dataset!$AC:$AC,"*AA*")</f>
        <v>0</v>
      </c>
      <c r="K39" s="27">
        <f>SUMIFS(Dataset!$AJ:$AJ,Dataset!$F:$F,Resumen!K$8,Dataset!$J:$J,"&gt;="&amp;$AC39,Dataset!$J:$J,"&lt;"&amp;$AD39,Dataset!$AH:$AH,"bono corporativo",Dataset!$T:$T,"&lt;&gt;UF",Dataset!$T:$T,"&lt;&gt;$",Dataset!$AC:$AC,"*AA*")</f>
        <v>0</v>
      </c>
      <c r="L39" s="28">
        <f>SUMIFS(Dataset!$AA:$AA,Dataset!$F:$F,Resumen!K$8,Dataset!$J:$J,"&gt;="&amp;$AC39,Dataset!$J:$J,"&lt;"&amp;$AD39,Dataset!$AH:$AH,"bono corporativo",Dataset!$T:$T,"&lt;&gt;UF",Dataset!$T:$T,"&lt;&gt;$",Dataset!$AC:$AC,"*AA*")</f>
        <v>0</v>
      </c>
      <c r="M39" s="27">
        <f>SUMIFS(Dataset!$AJ:$AJ,Dataset!$F:$F,Resumen!M$8,Dataset!$J:$J,"&gt;="&amp;$AC39,Dataset!$J:$J,"&lt;"&amp;$AD39,Dataset!$AH:$AH,"bono corporativo",Dataset!$T:$T,"&lt;&gt;UF",Dataset!$T:$T,"&lt;&gt;$",Dataset!$AC:$AC,"*AA*")</f>
        <v>0</v>
      </c>
      <c r="N39" s="28">
        <f>SUMIFS(Dataset!$AA:$AA,Dataset!$F:$F,Resumen!M$8,Dataset!$J:$J,"&gt;="&amp;$AC39,Dataset!$J:$J,"&lt;"&amp;$AD39,Dataset!$AH:$AH,"bono corporativo",Dataset!$T:$T,"&lt;&gt;UF",Dataset!$T:$T,"&lt;&gt;$",Dataset!$AC:$AC,"*AA*")</f>
        <v>0</v>
      </c>
      <c r="O39" s="27">
        <f>SUMIFS(Dataset!$AJ:$AJ,Dataset!$F:$F,Resumen!O$8,Dataset!$J:$J,"&gt;="&amp;$AC39,Dataset!$J:$J,"&lt;"&amp;$AD39,Dataset!$AH:$AH,"bono corporativo",Dataset!$T:$T,"&lt;&gt;UF",Dataset!$T:$T,"&lt;&gt;$",Dataset!$AC:$AC,"*AA*")</f>
        <v>0</v>
      </c>
      <c r="P39" s="28">
        <f>SUMIFS(Dataset!$AA:$AA,Dataset!$F:$F,Resumen!O$8,Dataset!$J:$J,"&gt;="&amp;$AC39,Dataset!$J:$J,"&lt;"&amp;$AD39,Dataset!$AH:$AH,"bono corporativo",Dataset!$T:$T,"&lt;&gt;UF",Dataset!$T:$T,"&lt;&gt;$",Dataset!$AC:$AC,"*AA*")</f>
        <v>0</v>
      </c>
      <c r="Q39" s="27">
        <f>SUMIFS(Dataset!$AJ:$AJ,Dataset!$F:$F,Resumen!Q$8,Dataset!$J:$J,"&gt;="&amp;$AC39,Dataset!$J:$J,"&lt;"&amp;$AD39,Dataset!$AH:$AH,"bono corporativo",Dataset!$T:$T,"&lt;&gt;UF",Dataset!$T:$T,"&lt;&gt;$",Dataset!$AC:$AC,"*AA*")</f>
        <v>0</v>
      </c>
      <c r="R39" s="28">
        <f>SUMIFS(Dataset!$AA:$AA,Dataset!$F:$F,Resumen!Q$8,Dataset!$J:$J,"&gt;="&amp;$AC39,Dataset!$J:$J,"&lt;"&amp;$AD39,Dataset!$AH:$AH,"bono corporativo",Dataset!$T:$T,"&lt;&gt;UF",Dataset!$T:$T,"&lt;&gt;$",Dataset!$AC:$AC,"*AA*")</f>
        <v>0</v>
      </c>
      <c r="S39" s="27">
        <f>SUMIFS(Dataset!$AJ:$AJ,Dataset!$F:$F,Resumen!S$8,Dataset!$J:$J,"&gt;="&amp;$AC39,Dataset!$J:$J,"&lt;"&amp;$AD39,Dataset!$AH:$AH,"bono corporativo",Dataset!$T:$T,"&lt;&gt;UF",Dataset!$T:$T,"&lt;&gt;$",Dataset!$AC:$AC,"*AA*")</f>
        <v>0</v>
      </c>
      <c r="T39" s="28">
        <f>SUMIFS(Dataset!$AA:$AA,Dataset!$F:$F,Resumen!S$8,Dataset!$J:$J,"&gt;="&amp;$AC39,Dataset!$J:$J,"&lt;"&amp;$AD39,Dataset!$AH:$AH,"bono corporativo",Dataset!$T:$T,"&lt;&gt;UF",Dataset!$T:$T,"&lt;&gt;$",Dataset!$AC:$AC,"*AA*")</f>
        <v>0</v>
      </c>
      <c r="U39" s="27">
        <f>SUMIFS(Dataset!$AJ:$AJ,Dataset!$F:$F,Resumen!U$8,Dataset!$J:$J,"&gt;="&amp;$AC39,Dataset!$J:$J,"&lt;"&amp;$AD39,Dataset!$AH:$AH,"bono corporativo",Dataset!$T:$T,"&lt;&gt;UF",Dataset!$T:$T,"&lt;&gt;$",Dataset!$AC:$AC,"*AA*")</f>
        <v>0</v>
      </c>
      <c r="V39" s="28">
        <f>SUMIFS(Dataset!$AA:$AA,Dataset!$F:$F,Resumen!U$8,Dataset!$J:$J,"&gt;="&amp;$AC39,Dataset!$J:$J,"&lt;"&amp;$AD39,Dataset!$AH:$AH,"bono corporativo",Dataset!$T:$T,"&lt;&gt;UF",Dataset!$T:$T,"&lt;&gt;$",Dataset!$AC:$AC,"*AA*")</f>
        <v>0</v>
      </c>
      <c r="W39" s="27">
        <f>SUMIFS(Dataset!$AJ:$AJ,Dataset!$F:$F,Resumen!W$8,Dataset!$J:$J,"&gt;="&amp;$AC39,Dataset!$J:$J,"&lt;"&amp;$AD39,Dataset!$AH:$AH,"bono corporativo",Dataset!$T:$T,"&lt;&gt;UF",Dataset!$T:$T,"&lt;&gt;$",Dataset!$AC:$AC,"*AA*")</f>
        <v>0</v>
      </c>
      <c r="X39" s="28">
        <f>SUMIFS(Dataset!$AA:$AA,Dataset!$F:$F,Resumen!W$8,Dataset!$J:$J,"&gt;="&amp;$AC39,Dataset!$J:$J,"&lt;"&amp;$AD39,Dataset!$AH:$AH,"bono corporativo",Dataset!$T:$T,"&lt;&gt;UF",Dataset!$T:$T,"&lt;&gt;$",Dataset!$AC:$AC,"*AA*")</f>
        <v>0</v>
      </c>
      <c r="Y39" s="27">
        <f>SUMIFS(Dataset!$AJ:$AJ,Dataset!$F:$F,Resumen!Y$8,Dataset!$J:$J,"&gt;="&amp;$AC39,Dataset!$J:$J,"&lt;"&amp;$AD39,Dataset!$AH:$AH,"bono corporativo",Dataset!$T:$T,"&lt;&gt;UF",Dataset!$T:$T,"&lt;&gt;$",Dataset!$AC:$AC,"*AA*")</f>
        <v>0</v>
      </c>
      <c r="Z39" s="28">
        <f>SUMIFS(Dataset!$AA:$AA,Dataset!$F:$F,Resumen!Y$8,Dataset!$J:$J,"&gt;="&amp;$AC39,Dataset!$J:$J,"&lt;"&amp;$AD39,Dataset!$AH:$AH,"bono corporativo",Dataset!$T:$T,"&lt;&gt;UF",Dataset!$T:$T,"&lt;&gt;$",Dataset!$AC:$AC,"*AA*")</f>
        <v>0</v>
      </c>
      <c r="AA39" s="27">
        <f>SUMIFS(Dataset!$AJ:$AJ,Dataset!$F:$F,Resumen!AA$8,Dataset!$J:$J,"&gt;="&amp;$AC39,Dataset!$J:$J,"&lt;"&amp;$AD39,Dataset!$AH:$AH,"bono corporativo",Dataset!$T:$T,"&lt;&gt;UF",Dataset!$T:$T,"&lt;&gt;$",Dataset!$AC:$AC,"*AA*")</f>
        <v>0</v>
      </c>
      <c r="AB39" s="28">
        <f>SUMIFS(Dataset!$AA:$AA,Dataset!$F:$F,Resumen!AA$8,Dataset!$J:$J,"&gt;="&amp;$AC39,Dataset!$J:$J,"&lt;"&amp;$AD39,Dataset!$AH:$AH,"bono corporativo",Dataset!$T:$T,"&lt;&gt;UF",Dataset!$T:$T,"&lt;&gt;$",Dataset!$AC:$AC,"*AA*")</f>
        <v>0</v>
      </c>
      <c r="AC39" s="22">
        <v>3</v>
      </c>
      <c r="AD39" s="22">
        <v>5</v>
      </c>
    </row>
    <row r="40" spans="2:30" ht="30" customHeight="1" x14ac:dyDescent="0.3">
      <c r="B40" s="159"/>
      <c r="C40" s="158"/>
      <c r="D40" s="31" t="s">
        <v>121</v>
      </c>
      <c r="E40" s="27">
        <f>SUMIFS(Dataset!$AJ:$AJ,Dataset!$F:$F,Resumen!E$8,Dataset!$J:$J,"&gt;="&amp;$AC40,Dataset!$J:$J,"&lt;"&amp;$AD40,Dataset!$AH:$AH,"bono corporativo",Dataset!$T:$T,"&lt;&gt;UF",Dataset!$T:$T,"&lt;&gt;$",Dataset!$AC:$AC,"*AA*")</f>
        <v>1.3649964057838124E-2</v>
      </c>
      <c r="F40" s="28">
        <f>SUMIFS(Dataset!$AA:$AA,Dataset!$F:$F,Resumen!E$8,Dataset!$J:$J,"&gt;="&amp;$AC40,Dataset!$J:$J,"&lt;"&amp;$AD40,Dataset!$AH:$AH,"bono corporativo",Dataset!$T:$T,"&lt;&gt;UF",Dataset!$T:$T,"&lt;&gt;$",Dataset!$AC:$AC,"*AA*")</f>
        <v>0.3661355803500812</v>
      </c>
      <c r="G40" s="27">
        <f>SUMIFS(Dataset!$AJ:$AJ,Dataset!$F:$F,Resumen!G$8,Dataset!$J:$J,"&gt;="&amp;$AC40,Dataset!$J:$J,"&lt;"&amp;$AD40,Dataset!$AH:$AH,"bono corporativo",Dataset!$T:$T,"&lt;&gt;UF",Dataset!$T:$T,"&lt;&gt;$",Dataset!$AC:$AC,"*AA*")</f>
        <v>0</v>
      </c>
      <c r="H40" s="28">
        <f>SUMIFS(Dataset!$AA:$AA,Dataset!$F:$F,Resumen!G$8,Dataset!$J:$J,"&gt;="&amp;$AC40,Dataset!$J:$J,"&lt;"&amp;$AD40,Dataset!$AH:$AH,"bono corporativo",Dataset!$T:$T,"&lt;&gt;UF",Dataset!$T:$T,"&lt;&gt;$",Dataset!$AC:$AC,"*AA*")</f>
        <v>0</v>
      </c>
      <c r="I40" s="27">
        <f>SUMIFS(Dataset!$AJ:$AJ,Dataset!$F:$F,Resumen!I$8,Dataset!$J:$J,"&gt;="&amp;$AC40,Dataset!$J:$J,"&lt;"&amp;$AD40,Dataset!$AH:$AH,"bono corporativo",Dataset!$T:$T,"&lt;&gt;UF",Dataset!$T:$T,"&lt;&gt;$",Dataset!$AC:$AC,"*AA*")</f>
        <v>0</v>
      </c>
      <c r="J40" s="28">
        <f>SUMIFS(Dataset!$AA:$AA,Dataset!$F:$F,Resumen!I$8,Dataset!$J:$J,"&gt;="&amp;$AC40,Dataset!$J:$J,"&lt;"&amp;$AD40,Dataset!$AH:$AH,"bono corporativo",Dataset!$T:$T,"&lt;&gt;UF",Dataset!$T:$T,"&lt;&gt;$",Dataset!$AC:$AC,"*AA*")</f>
        <v>0</v>
      </c>
      <c r="K40" s="27">
        <f>SUMIFS(Dataset!$AJ:$AJ,Dataset!$F:$F,Resumen!K$8,Dataset!$J:$J,"&gt;="&amp;$AC40,Dataset!$J:$J,"&lt;"&amp;$AD40,Dataset!$AH:$AH,"bono corporativo",Dataset!$T:$T,"&lt;&gt;UF",Dataset!$T:$T,"&lt;&gt;$",Dataset!$AC:$AC,"*AA*")</f>
        <v>0</v>
      </c>
      <c r="L40" s="28">
        <f>SUMIFS(Dataset!$AA:$AA,Dataset!$F:$F,Resumen!K$8,Dataset!$J:$J,"&gt;="&amp;$AC40,Dataset!$J:$J,"&lt;"&amp;$AD40,Dataset!$AH:$AH,"bono corporativo",Dataset!$T:$T,"&lt;&gt;UF",Dataset!$T:$T,"&lt;&gt;$",Dataset!$AC:$AC,"*AA*")</f>
        <v>0</v>
      </c>
      <c r="M40" s="27">
        <f>SUMIFS(Dataset!$AJ:$AJ,Dataset!$F:$F,Resumen!M$8,Dataset!$J:$J,"&gt;="&amp;$AC40,Dataset!$J:$J,"&lt;"&amp;$AD40,Dataset!$AH:$AH,"bono corporativo",Dataset!$T:$T,"&lt;&gt;UF",Dataset!$T:$T,"&lt;&gt;$",Dataset!$AC:$AC,"*AA*")</f>
        <v>0</v>
      </c>
      <c r="N40" s="28">
        <f>SUMIFS(Dataset!$AA:$AA,Dataset!$F:$F,Resumen!M$8,Dataset!$J:$J,"&gt;="&amp;$AC40,Dataset!$J:$J,"&lt;"&amp;$AD40,Dataset!$AH:$AH,"bono corporativo",Dataset!$T:$T,"&lt;&gt;UF",Dataset!$T:$T,"&lt;&gt;$",Dataset!$AC:$AC,"*AA*")</f>
        <v>0</v>
      </c>
      <c r="O40" s="27">
        <f>SUMIFS(Dataset!$AJ:$AJ,Dataset!$F:$F,Resumen!O$8,Dataset!$J:$J,"&gt;="&amp;$AC40,Dataset!$J:$J,"&lt;"&amp;$AD40,Dataset!$AH:$AH,"bono corporativo",Dataset!$T:$T,"&lt;&gt;UF",Dataset!$T:$T,"&lt;&gt;$",Dataset!$AC:$AC,"*AA*")</f>
        <v>0</v>
      </c>
      <c r="P40" s="28">
        <f>SUMIFS(Dataset!$AA:$AA,Dataset!$F:$F,Resumen!O$8,Dataset!$J:$J,"&gt;="&amp;$AC40,Dataset!$J:$J,"&lt;"&amp;$AD40,Dataset!$AH:$AH,"bono corporativo",Dataset!$T:$T,"&lt;&gt;UF",Dataset!$T:$T,"&lt;&gt;$",Dataset!$AC:$AC,"*AA*")</f>
        <v>0</v>
      </c>
      <c r="Q40" s="27">
        <f>SUMIFS(Dataset!$AJ:$AJ,Dataset!$F:$F,Resumen!Q$8,Dataset!$J:$J,"&gt;="&amp;$AC40,Dataset!$J:$J,"&lt;"&amp;$AD40,Dataset!$AH:$AH,"bono corporativo",Dataset!$T:$T,"&lt;&gt;UF",Dataset!$T:$T,"&lt;&gt;$",Dataset!$AC:$AC,"*AA*")</f>
        <v>0</v>
      </c>
      <c r="R40" s="28">
        <f>SUMIFS(Dataset!$AA:$AA,Dataset!$F:$F,Resumen!Q$8,Dataset!$J:$J,"&gt;="&amp;$AC40,Dataset!$J:$J,"&lt;"&amp;$AD40,Dataset!$AH:$AH,"bono corporativo",Dataset!$T:$T,"&lt;&gt;UF",Dataset!$T:$T,"&lt;&gt;$",Dataset!$AC:$AC,"*AA*")</f>
        <v>0</v>
      </c>
      <c r="S40" s="27">
        <f>SUMIFS(Dataset!$AJ:$AJ,Dataset!$F:$F,Resumen!S$8,Dataset!$J:$J,"&gt;="&amp;$AC40,Dataset!$J:$J,"&lt;"&amp;$AD40,Dataset!$AH:$AH,"bono corporativo",Dataset!$T:$T,"&lt;&gt;UF",Dataset!$T:$T,"&lt;&gt;$",Dataset!$AC:$AC,"*AA*")</f>
        <v>0</v>
      </c>
      <c r="T40" s="28">
        <f>SUMIFS(Dataset!$AA:$AA,Dataset!$F:$F,Resumen!S$8,Dataset!$J:$J,"&gt;="&amp;$AC40,Dataset!$J:$J,"&lt;"&amp;$AD40,Dataset!$AH:$AH,"bono corporativo",Dataset!$T:$T,"&lt;&gt;UF",Dataset!$T:$T,"&lt;&gt;$",Dataset!$AC:$AC,"*AA*")</f>
        <v>0</v>
      </c>
      <c r="U40" s="27">
        <f>SUMIFS(Dataset!$AJ:$AJ,Dataset!$F:$F,Resumen!U$8,Dataset!$J:$J,"&gt;="&amp;$AC40,Dataset!$J:$J,"&lt;"&amp;$AD40,Dataset!$AH:$AH,"bono corporativo",Dataset!$T:$T,"&lt;&gt;UF",Dataset!$T:$T,"&lt;&gt;$",Dataset!$AC:$AC,"*AA*")</f>
        <v>0</v>
      </c>
      <c r="V40" s="28">
        <f>SUMIFS(Dataset!$AA:$AA,Dataset!$F:$F,Resumen!U$8,Dataset!$J:$J,"&gt;="&amp;$AC40,Dataset!$J:$J,"&lt;"&amp;$AD40,Dataset!$AH:$AH,"bono corporativo",Dataset!$T:$T,"&lt;&gt;UF",Dataset!$T:$T,"&lt;&gt;$",Dataset!$AC:$AC,"*AA*")</f>
        <v>0</v>
      </c>
      <c r="W40" s="27">
        <f>SUMIFS(Dataset!$AJ:$AJ,Dataset!$F:$F,Resumen!W$8,Dataset!$J:$J,"&gt;="&amp;$AC40,Dataset!$J:$J,"&lt;"&amp;$AD40,Dataset!$AH:$AH,"bono corporativo",Dataset!$T:$T,"&lt;&gt;UF",Dataset!$T:$T,"&lt;&gt;$",Dataset!$AC:$AC,"*AA*")</f>
        <v>0</v>
      </c>
      <c r="X40" s="28">
        <f>SUMIFS(Dataset!$AA:$AA,Dataset!$F:$F,Resumen!W$8,Dataset!$J:$J,"&gt;="&amp;$AC40,Dataset!$J:$J,"&lt;"&amp;$AD40,Dataset!$AH:$AH,"bono corporativo",Dataset!$T:$T,"&lt;&gt;UF",Dataset!$T:$T,"&lt;&gt;$",Dataset!$AC:$AC,"*AA*")</f>
        <v>0</v>
      </c>
      <c r="Y40" s="27">
        <f>SUMIFS(Dataset!$AJ:$AJ,Dataset!$F:$F,Resumen!Y$8,Dataset!$J:$J,"&gt;="&amp;$AC40,Dataset!$J:$J,"&lt;"&amp;$AD40,Dataset!$AH:$AH,"bono corporativo",Dataset!$T:$T,"&lt;&gt;UF",Dataset!$T:$T,"&lt;&gt;$",Dataset!$AC:$AC,"*AA*")</f>
        <v>0</v>
      </c>
      <c r="Z40" s="28">
        <f>SUMIFS(Dataset!$AA:$AA,Dataset!$F:$F,Resumen!Y$8,Dataset!$J:$J,"&gt;="&amp;$AC40,Dataset!$J:$J,"&lt;"&amp;$AD40,Dataset!$AH:$AH,"bono corporativo",Dataset!$T:$T,"&lt;&gt;UF",Dataset!$T:$T,"&lt;&gt;$",Dataset!$AC:$AC,"*AA*")</f>
        <v>0</v>
      </c>
      <c r="AA40" s="27">
        <f>SUMIFS(Dataset!$AJ:$AJ,Dataset!$F:$F,Resumen!AA$8,Dataset!$J:$J,"&gt;="&amp;$AC40,Dataset!$J:$J,"&lt;"&amp;$AD40,Dataset!$AH:$AH,"bono corporativo",Dataset!$T:$T,"&lt;&gt;UF",Dataset!$T:$T,"&lt;&gt;$",Dataset!$AC:$AC,"*AA*")</f>
        <v>0</v>
      </c>
      <c r="AB40" s="28">
        <f>SUMIFS(Dataset!$AA:$AA,Dataset!$F:$F,Resumen!AA$8,Dataset!$J:$J,"&gt;="&amp;$AC40,Dataset!$J:$J,"&lt;"&amp;$AD40,Dataset!$AH:$AH,"bono corporativo",Dataset!$T:$T,"&lt;&gt;UF",Dataset!$T:$T,"&lt;&gt;$",Dataset!$AC:$AC,"*AA*")</f>
        <v>0</v>
      </c>
      <c r="AC40" s="22">
        <v>5</v>
      </c>
      <c r="AD40" s="22">
        <v>10</v>
      </c>
    </row>
    <row r="41" spans="2:30" ht="30" customHeight="1" x14ac:dyDescent="0.3">
      <c r="B41" s="159"/>
      <c r="C41" s="158"/>
      <c r="D41" s="31" t="s">
        <v>122</v>
      </c>
      <c r="E41" s="29">
        <f>SUMIFS(Dataset!$AJ:$AJ,Dataset!$F:$F,Resumen!E$8,Dataset!$J:$J,"&gt;="&amp;$AC41,Dataset!$J:$J,"&lt;"&amp;$AD41,Dataset!$AH:$AH,"bono corporativo",Dataset!$T:$T,"&lt;&gt;UF",Dataset!$T:$T,"&lt;&gt;$",Dataset!$AC:$AC,"*AA*")</f>
        <v>0</v>
      </c>
      <c r="F41" s="30">
        <f>SUMIFS(Dataset!$AA:$AA,Dataset!$F:$F,Resumen!E$8,Dataset!$J:$J,"&gt;="&amp;$AC41,Dataset!$J:$J,"&lt;"&amp;$AD41,Dataset!$AH:$AH,"bono corporativo",Dataset!$T:$T,"&lt;&gt;UF",Dataset!$T:$T,"&lt;&gt;$",Dataset!$AC:$AC,"*AA*")</f>
        <v>0</v>
      </c>
      <c r="G41" s="29">
        <f>SUMIFS(Dataset!$AJ:$AJ,Dataset!$F:$F,Resumen!G$8,Dataset!$J:$J,"&gt;="&amp;$AC41,Dataset!$J:$J,"&lt;"&amp;$AD41,Dataset!$AH:$AH,"bono corporativo",Dataset!$T:$T,"&lt;&gt;UF",Dataset!$T:$T,"&lt;&gt;$",Dataset!$AC:$AC,"*AA*")</f>
        <v>0</v>
      </c>
      <c r="H41" s="30">
        <f>SUMIFS(Dataset!$AA:$AA,Dataset!$F:$F,Resumen!G$8,Dataset!$J:$J,"&gt;="&amp;$AC41,Dataset!$J:$J,"&lt;"&amp;$AD41,Dataset!$AH:$AH,"bono corporativo",Dataset!$T:$T,"&lt;&gt;UF",Dataset!$T:$T,"&lt;&gt;$",Dataset!$AC:$AC,"*AA*")</f>
        <v>0</v>
      </c>
      <c r="I41" s="29">
        <f>SUMIFS(Dataset!$AJ:$AJ,Dataset!$F:$F,Resumen!I$8,Dataset!$J:$J,"&gt;="&amp;$AC41,Dataset!$J:$J,"&lt;"&amp;$AD41,Dataset!$AH:$AH,"bono corporativo",Dataset!$T:$T,"&lt;&gt;UF",Dataset!$T:$T,"&lt;&gt;$",Dataset!$AC:$AC,"*AA*")</f>
        <v>0</v>
      </c>
      <c r="J41" s="30">
        <f>SUMIFS(Dataset!$AA:$AA,Dataset!$F:$F,Resumen!I$8,Dataset!$J:$J,"&gt;="&amp;$AC41,Dataset!$J:$J,"&lt;"&amp;$AD41,Dataset!$AH:$AH,"bono corporativo",Dataset!$T:$T,"&lt;&gt;UF",Dataset!$T:$T,"&lt;&gt;$",Dataset!$AC:$AC,"*AA*")</f>
        <v>0</v>
      </c>
      <c r="K41" s="29">
        <f>SUMIFS(Dataset!$AJ:$AJ,Dataset!$F:$F,Resumen!K$8,Dataset!$J:$J,"&gt;="&amp;$AC41,Dataset!$J:$J,"&lt;"&amp;$AD41,Dataset!$AH:$AH,"bono corporativo",Dataset!$T:$T,"&lt;&gt;UF",Dataset!$T:$T,"&lt;&gt;$",Dataset!$AC:$AC,"*AA*")</f>
        <v>0</v>
      </c>
      <c r="L41" s="30">
        <f>SUMIFS(Dataset!$AA:$AA,Dataset!$F:$F,Resumen!K$8,Dataset!$J:$J,"&gt;="&amp;$AC41,Dataset!$J:$J,"&lt;"&amp;$AD41,Dataset!$AH:$AH,"bono corporativo",Dataset!$T:$T,"&lt;&gt;UF",Dataset!$T:$T,"&lt;&gt;$",Dataset!$AC:$AC,"*AA*")</f>
        <v>0</v>
      </c>
      <c r="M41" s="29">
        <f>SUMIFS(Dataset!$AJ:$AJ,Dataset!$F:$F,Resumen!M$8,Dataset!$J:$J,"&gt;="&amp;$AC41,Dataset!$J:$J,"&lt;"&amp;$AD41,Dataset!$AH:$AH,"bono corporativo",Dataset!$T:$T,"&lt;&gt;UF",Dataset!$T:$T,"&lt;&gt;$",Dataset!$AC:$AC,"*AA*")</f>
        <v>0</v>
      </c>
      <c r="N41" s="30">
        <f>SUMIFS(Dataset!$AA:$AA,Dataset!$F:$F,Resumen!M$8,Dataset!$J:$J,"&gt;="&amp;$AC41,Dataset!$J:$J,"&lt;"&amp;$AD41,Dataset!$AH:$AH,"bono corporativo",Dataset!$T:$T,"&lt;&gt;UF",Dataset!$T:$T,"&lt;&gt;$",Dataset!$AC:$AC,"*AA*")</f>
        <v>0</v>
      </c>
      <c r="O41" s="29">
        <f>SUMIFS(Dataset!$AJ:$AJ,Dataset!$F:$F,Resumen!O$8,Dataset!$J:$J,"&gt;="&amp;$AC41,Dataset!$J:$J,"&lt;"&amp;$AD41,Dataset!$AH:$AH,"bono corporativo",Dataset!$T:$T,"&lt;&gt;UF",Dataset!$T:$T,"&lt;&gt;$",Dataset!$AC:$AC,"*AA*")</f>
        <v>0</v>
      </c>
      <c r="P41" s="30">
        <f>SUMIFS(Dataset!$AA:$AA,Dataset!$F:$F,Resumen!O$8,Dataset!$J:$J,"&gt;="&amp;$AC41,Dataset!$J:$J,"&lt;"&amp;$AD41,Dataset!$AH:$AH,"bono corporativo",Dataset!$T:$T,"&lt;&gt;UF",Dataset!$T:$T,"&lt;&gt;$",Dataset!$AC:$AC,"*AA*")</f>
        <v>0</v>
      </c>
      <c r="Q41" s="29">
        <f>SUMIFS(Dataset!$AJ:$AJ,Dataset!$F:$F,Resumen!Q$8,Dataset!$J:$J,"&gt;="&amp;$AC41,Dataset!$J:$J,"&lt;"&amp;$AD41,Dataset!$AH:$AH,"bono corporativo",Dataset!$T:$T,"&lt;&gt;UF",Dataset!$T:$T,"&lt;&gt;$",Dataset!$AC:$AC,"*AA*")</f>
        <v>0</v>
      </c>
      <c r="R41" s="30">
        <f>SUMIFS(Dataset!$AA:$AA,Dataset!$F:$F,Resumen!Q$8,Dataset!$J:$J,"&gt;="&amp;$AC41,Dataset!$J:$J,"&lt;"&amp;$AD41,Dataset!$AH:$AH,"bono corporativo",Dataset!$T:$T,"&lt;&gt;UF",Dataset!$T:$T,"&lt;&gt;$",Dataset!$AC:$AC,"*AA*")</f>
        <v>0</v>
      </c>
      <c r="S41" s="29">
        <f>SUMIFS(Dataset!$AJ:$AJ,Dataset!$F:$F,Resumen!S$8,Dataset!$J:$J,"&gt;="&amp;$AC41,Dataset!$J:$J,"&lt;"&amp;$AD41,Dataset!$AH:$AH,"bono corporativo",Dataset!$T:$T,"&lt;&gt;UF",Dataset!$T:$T,"&lt;&gt;$",Dataset!$AC:$AC,"*AA*")</f>
        <v>0</v>
      </c>
      <c r="T41" s="30">
        <f>SUMIFS(Dataset!$AA:$AA,Dataset!$F:$F,Resumen!S$8,Dataset!$J:$J,"&gt;="&amp;$AC41,Dataset!$J:$J,"&lt;"&amp;$AD41,Dataset!$AH:$AH,"bono corporativo",Dataset!$T:$T,"&lt;&gt;UF",Dataset!$T:$T,"&lt;&gt;$",Dataset!$AC:$AC,"*AA*")</f>
        <v>0</v>
      </c>
      <c r="U41" s="29">
        <f>SUMIFS(Dataset!$AJ:$AJ,Dataset!$F:$F,Resumen!U$8,Dataset!$J:$J,"&gt;="&amp;$AC41,Dataset!$J:$J,"&lt;"&amp;$AD41,Dataset!$AH:$AH,"bono corporativo",Dataset!$T:$T,"&lt;&gt;UF",Dataset!$T:$T,"&lt;&gt;$",Dataset!$AC:$AC,"*AA*")</f>
        <v>0</v>
      </c>
      <c r="V41" s="30">
        <f>SUMIFS(Dataset!$AA:$AA,Dataset!$F:$F,Resumen!U$8,Dataset!$J:$J,"&gt;="&amp;$AC41,Dataset!$J:$J,"&lt;"&amp;$AD41,Dataset!$AH:$AH,"bono corporativo",Dataset!$T:$T,"&lt;&gt;UF",Dataset!$T:$T,"&lt;&gt;$",Dataset!$AC:$AC,"*AA*")</f>
        <v>0</v>
      </c>
      <c r="W41" s="29">
        <f>SUMIFS(Dataset!$AJ:$AJ,Dataset!$F:$F,Resumen!W$8,Dataset!$J:$J,"&gt;="&amp;$AC41,Dataset!$J:$J,"&lt;"&amp;$AD41,Dataset!$AH:$AH,"bono corporativo",Dataset!$T:$T,"&lt;&gt;UF",Dataset!$T:$T,"&lt;&gt;$",Dataset!$AC:$AC,"*AA*")</f>
        <v>0</v>
      </c>
      <c r="X41" s="30">
        <f>SUMIFS(Dataset!$AA:$AA,Dataset!$F:$F,Resumen!W$8,Dataset!$J:$J,"&gt;="&amp;$AC41,Dataset!$J:$J,"&lt;"&amp;$AD41,Dataset!$AH:$AH,"bono corporativo",Dataset!$T:$T,"&lt;&gt;UF",Dataset!$T:$T,"&lt;&gt;$",Dataset!$AC:$AC,"*AA*")</f>
        <v>0</v>
      </c>
      <c r="Y41" s="29">
        <f>SUMIFS(Dataset!$AJ:$AJ,Dataset!$F:$F,Resumen!Y$8,Dataset!$J:$J,"&gt;="&amp;$AC41,Dataset!$J:$J,"&lt;"&amp;$AD41,Dataset!$AH:$AH,"bono corporativo",Dataset!$T:$T,"&lt;&gt;UF",Dataset!$T:$T,"&lt;&gt;$",Dataset!$AC:$AC,"*AA*")</f>
        <v>0</v>
      </c>
      <c r="Z41" s="30">
        <f>SUMIFS(Dataset!$AA:$AA,Dataset!$F:$F,Resumen!Y$8,Dataset!$J:$J,"&gt;="&amp;$AC41,Dataset!$J:$J,"&lt;"&amp;$AD41,Dataset!$AH:$AH,"bono corporativo",Dataset!$T:$T,"&lt;&gt;UF",Dataset!$T:$T,"&lt;&gt;$",Dataset!$AC:$AC,"*AA*")</f>
        <v>0</v>
      </c>
      <c r="AA41" s="29">
        <f>SUMIFS(Dataset!$AJ:$AJ,Dataset!$F:$F,Resumen!AA$8,Dataset!$J:$J,"&gt;="&amp;$AC41,Dataset!$J:$J,"&lt;"&amp;$AD41,Dataset!$AH:$AH,"bono corporativo",Dataset!$T:$T,"&lt;&gt;UF",Dataset!$T:$T,"&lt;&gt;$",Dataset!$AC:$AC,"*AA*")</f>
        <v>0</v>
      </c>
      <c r="AB41" s="30">
        <f>SUMIFS(Dataset!$AA:$AA,Dataset!$F:$F,Resumen!AA$8,Dataset!$J:$J,"&gt;="&amp;$AC41,Dataset!$J:$J,"&lt;"&amp;$AD41,Dataset!$AH:$AH,"bono corporativo",Dataset!$T:$T,"&lt;&gt;UF",Dataset!$T:$T,"&lt;&gt;$",Dataset!$AC:$AC,"*AA*")</f>
        <v>0</v>
      </c>
      <c r="AC41" s="22">
        <v>10</v>
      </c>
      <c r="AD41" s="22">
        <v>100</v>
      </c>
    </row>
    <row r="42" spans="2:30" ht="30" customHeight="1" x14ac:dyDescent="0.3">
      <c r="B42" s="159"/>
      <c r="C42" s="158" t="s">
        <v>126</v>
      </c>
      <c r="D42" s="31" t="s">
        <v>119</v>
      </c>
      <c r="E42" s="33">
        <f>SUMIFS(Dataset!$AJ:$AJ,Dataset!$F:$F,Resumen!E$8,Dataset!$J:$J,"&gt;="&amp;$AC42,Dataset!$J:$J,"&lt;"&amp;$AD42,Dataset!$AH:$AH,"bono corporativo",Dataset!$T:$T,"&lt;&gt;UF",Dataset!$T:$T,"&lt;&gt;$",Dataset!$AC:$AC,"&lt;&gt;*AA*")</f>
        <v>0</v>
      </c>
      <c r="F42" s="34">
        <f>SUMIFS(Dataset!$AA:$AA,Dataset!$F:$F,Resumen!E$8,Dataset!$J:$J,"&gt;="&amp;$AC42,Dataset!$J:$J,"&lt;"&amp;$AD42,Dataset!$AH:$AH,"bono corporativo",Dataset!$T:$T,"&lt;&gt;UF",Dataset!$T:$T,"&lt;&gt;$",Dataset!$AC:$AC,"&lt;&gt;*AA*")</f>
        <v>0</v>
      </c>
      <c r="G42" s="33">
        <f>SUMIFS(Dataset!$AJ:$AJ,Dataset!$F:$F,Resumen!G$8,Dataset!$J:$J,"&gt;="&amp;$AC42,Dataset!$J:$J,"&lt;"&amp;$AD42,Dataset!$AH:$AH,"bono corporativo",Dataset!$T:$T,"&lt;&gt;UF",Dataset!$T:$T,"&lt;&gt;$",Dataset!$AC:$AC,"&lt;&gt;*AA*")</f>
        <v>0</v>
      </c>
      <c r="H42" s="34">
        <f>SUMIFS(Dataset!$AA:$AA,Dataset!$F:$F,Resumen!G$8,Dataset!$J:$J,"&gt;="&amp;$AC42,Dataset!$J:$J,"&lt;"&amp;$AD42,Dataset!$AH:$AH,"bono corporativo",Dataset!$T:$T,"&lt;&gt;UF",Dataset!$T:$T,"&lt;&gt;$",Dataset!$AC:$AC,"&lt;&gt;*AA*")</f>
        <v>0</v>
      </c>
      <c r="I42" s="33">
        <f>SUMIFS(Dataset!$AJ:$AJ,Dataset!$F:$F,Resumen!I$8,Dataset!$J:$J,"&gt;="&amp;$AC42,Dataset!$J:$J,"&lt;"&amp;$AD42,Dataset!$AH:$AH,"bono corporativo",Dataset!$T:$T,"&lt;&gt;UF",Dataset!$T:$T,"&lt;&gt;$",Dataset!$AC:$AC,"&lt;&gt;*AA*")</f>
        <v>0</v>
      </c>
      <c r="J42" s="34">
        <f>SUMIFS(Dataset!$AA:$AA,Dataset!$F:$F,Resumen!I$8,Dataset!$J:$J,"&gt;="&amp;$AC42,Dataset!$J:$J,"&lt;"&amp;$AD42,Dataset!$AH:$AH,"bono corporativo",Dataset!$T:$T,"&lt;&gt;UF",Dataset!$T:$T,"&lt;&gt;$",Dataset!$AC:$AC,"&lt;&gt;*AA*")</f>
        <v>0</v>
      </c>
      <c r="K42" s="33">
        <f>SUMIFS(Dataset!$AJ:$AJ,Dataset!$F:$F,Resumen!K$8,Dataset!$J:$J,"&gt;="&amp;$AC42,Dataset!$J:$J,"&lt;"&amp;$AD42,Dataset!$AH:$AH,"bono corporativo",Dataset!$T:$T,"&lt;&gt;UF",Dataset!$T:$T,"&lt;&gt;$",Dataset!$AC:$AC,"&lt;&gt;*AA*")</f>
        <v>0</v>
      </c>
      <c r="L42" s="34">
        <f>SUMIFS(Dataset!$AA:$AA,Dataset!$F:$F,Resumen!K$8,Dataset!$J:$J,"&gt;="&amp;$AC42,Dataset!$J:$J,"&lt;"&amp;$AD42,Dataset!$AH:$AH,"bono corporativo",Dataset!$T:$T,"&lt;&gt;UF",Dataset!$T:$T,"&lt;&gt;$",Dataset!$AC:$AC,"&lt;&gt;*AA*")</f>
        <v>0</v>
      </c>
      <c r="M42" s="33">
        <f>SUMIFS(Dataset!$AJ:$AJ,Dataset!$F:$F,Resumen!M$8,Dataset!$J:$J,"&gt;="&amp;$AC42,Dataset!$J:$J,"&lt;"&amp;$AD42,Dataset!$AH:$AH,"bono corporativo",Dataset!$T:$T,"&lt;&gt;UF",Dataset!$T:$T,"&lt;&gt;$",Dataset!$AC:$AC,"&lt;&gt;*AA*")</f>
        <v>2.1520621580355661E-3</v>
      </c>
      <c r="N42" s="34">
        <f>SUMIFS(Dataset!$AA:$AA,Dataset!$F:$F,Resumen!M$8,Dataset!$J:$J,"&gt;="&amp;$AC42,Dataset!$J:$J,"&lt;"&amp;$AD42,Dataset!$AH:$AH,"bono corporativo",Dataset!$T:$T,"&lt;&gt;UF",Dataset!$T:$T,"&lt;&gt;$",Dataset!$AC:$AC,"&lt;&gt;*AA*")</f>
        <v>2.3798562487739226E-2</v>
      </c>
      <c r="O42" s="33">
        <f>SUMIFS(Dataset!$AJ:$AJ,Dataset!$F:$F,Resumen!O$8,Dataset!$J:$J,"&gt;="&amp;$AC42,Dataset!$J:$J,"&lt;"&amp;$AD42,Dataset!$AH:$AH,"bono corporativo",Dataset!$T:$T,"&lt;&gt;UF",Dataset!$T:$T,"&lt;&gt;$",Dataset!$AC:$AC,"&lt;&gt;*AA*")</f>
        <v>0</v>
      </c>
      <c r="P42" s="34">
        <f>SUMIFS(Dataset!$AA:$AA,Dataset!$F:$F,Resumen!O$8,Dataset!$J:$J,"&gt;="&amp;$AC42,Dataset!$J:$J,"&lt;"&amp;$AD42,Dataset!$AH:$AH,"bono corporativo",Dataset!$T:$T,"&lt;&gt;UF",Dataset!$T:$T,"&lt;&gt;$",Dataset!$AC:$AC,"&lt;&gt;*AA*")</f>
        <v>0</v>
      </c>
      <c r="Q42" s="33">
        <f>SUMIFS(Dataset!$AJ:$AJ,Dataset!$F:$F,Resumen!Q$8,Dataset!$J:$J,"&gt;="&amp;$AC42,Dataset!$J:$J,"&lt;"&amp;$AD42,Dataset!$AH:$AH,"bono corporativo",Dataset!$T:$T,"&lt;&gt;UF",Dataset!$T:$T,"&lt;&gt;$",Dataset!$AC:$AC,"&lt;&gt;*AA*")</f>
        <v>0</v>
      </c>
      <c r="R42" s="34">
        <f>SUMIFS(Dataset!$AA:$AA,Dataset!$F:$F,Resumen!Q$8,Dataset!$J:$J,"&gt;="&amp;$AC42,Dataset!$J:$J,"&lt;"&amp;$AD42,Dataset!$AH:$AH,"bono corporativo",Dataset!$T:$T,"&lt;&gt;UF",Dataset!$T:$T,"&lt;&gt;$",Dataset!$AC:$AC,"&lt;&gt;*AA*")</f>
        <v>0</v>
      </c>
      <c r="S42" s="33">
        <f>SUMIFS(Dataset!$AJ:$AJ,Dataset!$F:$F,Resumen!S$8,Dataset!$J:$J,"&gt;="&amp;$AC42,Dataset!$J:$J,"&lt;"&amp;$AD42,Dataset!$AH:$AH,"bono corporativo",Dataset!$T:$T,"&lt;&gt;UF",Dataset!$T:$T,"&lt;&gt;$",Dataset!$AC:$AC,"&lt;&gt;*AA*")</f>
        <v>0</v>
      </c>
      <c r="T42" s="34">
        <f>SUMIFS(Dataset!$AA:$AA,Dataset!$F:$F,Resumen!S$8,Dataset!$J:$J,"&gt;="&amp;$AC42,Dataset!$J:$J,"&lt;"&amp;$AD42,Dataset!$AH:$AH,"bono corporativo",Dataset!$T:$T,"&lt;&gt;UF",Dataset!$T:$T,"&lt;&gt;$",Dataset!$AC:$AC,"&lt;&gt;*AA*")</f>
        <v>0</v>
      </c>
      <c r="U42" s="33">
        <f>SUMIFS(Dataset!$AJ:$AJ,Dataset!$F:$F,Resumen!U$8,Dataset!$J:$J,"&gt;="&amp;$AC42,Dataset!$J:$J,"&lt;"&amp;$AD42,Dataset!$AH:$AH,"bono corporativo",Dataset!$T:$T,"&lt;&gt;UF",Dataset!$T:$T,"&lt;&gt;$",Dataset!$AC:$AC,"&lt;&gt;*AA*")</f>
        <v>0</v>
      </c>
      <c r="V42" s="34">
        <f>SUMIFS(Dataset!$AA:$AA,Dataset!$F:$F,Resumen!U$8,Dataset!$J:$J,"&gt;="&amp;$AC42,Dataset!$J:$J,"&lt;"&amp;$AD42,Dataset!$AH:$AH,"bono corporativo",Dataset!$T:$T,"&lt;&gt;UF",Dataset!$T:$T,"&lt;&gt;$",Dataset!$AC:$AC,"&lt;&gt;*AA*")</f>
        <v>0</v>
      </c>
      <c r="W42" s="33">
        <f>SUMIFS(Dataset!$AJ:$AJ,Dataset!$F:$F,Resumen!W$8,Dataset!$J:$J,"&gt;="&amp;$AC42,Dataset!$J:$J,"&lt;"&amp;$AD42,Dataset!$AH:$AH,"bono corporativo",Dataset!$T:$T,"&lt;&gt;UF",Dataset!$T:$T,"&lt;&gt;$",Dataset!$AC:$AC,"&lt;&gt;*AA*")</f>
        <v>0</v>
      </c>
      <c r="X42" s="34">
        <f>SUMIFS(Dataset!$AA:$AA,Dataset!$F:$F,Resumen!W$8,Dataset!$J:$J,"&gt;="&amp;$AC42,Dataset!$J:$J,"&lt;"&amp;$AD42,Dataset!$AH:$AH,"bono corporativo",Dataset!$T:$T,"&lt;&gt;UF",Dataset!$T:$T,"&lt;&gt;$",Dataset!$AC:$AC,"&lt;&gt;*AA*")</f>
        <v>0</v>
      </c>
      <c r="Y42" s="33">
        <f>SUMIFS(Dataset!$AJ:$AJ,Dataset!$F:$F,Resumen!Y$8,Dataset!$J:$J,"&gt;="&amp;$AC42,Dataset!$J:$J,"&lt;"&amp;$AD42,Dataset!$AH:$AH,"bono corporativo",Dataset!$T:$T,"&lt;&gt;UF",Dataset!$T:$T,"&lt;&gt;$",Dataset!$AC:$AC,"&lt;&gt;*AA*")</f>
        <v>0</v>
      </c>
      <c r="Z42" s="34">
        <f>SUMIFS(Dataset!$AA:$AA,Dataset!$F:$F,Resumen!Y$8,Dataset!$J:$J,"&gt;="&amp;$AC42,Dataset!$J:$J,"&lt;"&amp;$AD42,Dataset!$AH:$AH,"bono corporativo",Dataset!$T:$T,"&lt;&gt;UF",Dataset!$T:$T,"&lt;&gt;$",Dataset!$AC:$AC,"&lt;&gt;*AA*")</f>
        <v>0</v>
      </c>
      <c r="AA42" s="33">
        <f>SUMIFS(Dataset!$AJ:$AJ,Dataset!$F:$F,Resumen!AA$8,Dataset!$J:$J,"&gt;="&amp;$AC42,Dataset!$J:$J,"&lt;"&amp;$AD42,Dataset!$AH:$AH,"bono corporativo",Dataset!$T:$T,"&lt;&gt;UF",Dataset!$T:$T,"&lt;&gt;$",Dataset!$AC:$AC,"&lt;&gt;*AA*")</f>
        <v>0</v>
      </c>
      <c r="AB42" s="34">
        <f>SUMIFS(Dataset!$AA:$AA,Dataset!$F:$F,Resumen!AA$8,Dataset!$J:$J,"&gt;="&amp;$AC42,Dataset!$J:$J,"&lt;"&amp;$AD42,Dataset!$AH:$AH,"bono corporativo",Dataset!$T:$T,"&lt;&gt;UF",Dataset!$T:$T,"&lt;&gt;$",Dataset!$AC:$AC,"&lt;&gt;*AA*")</f>
        <v>0</v>
      </c>
      <c r="AC42" s="22">
        <v>0</v>
      </c>
      <c r="AD42" s="22">
        <v>3</v>
      </c>
    </row>
    <row r="43" spans="2:30" ht="30" customHeight="1" x14ac:dyDescent="0.3">
      <c r="B43" s="159"/>
      <c r="C43" s="158"/>
      <c r="D43" s="31" t="s">
        <v>120</v>
      </c>
      <c r="E43" s="27">
        <f>SUMIFS(Dataset!$AJ:$AJ,Dataset!$F:$F,Resumen!E$8,Dataset!$J:$J,"&gt;="&amp;$AC43,Dataset!$J:$J,"&lt;"&amp;$AD43,Dataset!$AH:$AH,"bono corporativo",Dataset!$T:$T,"&lt;&gt;UF",Dataset!$T:$T,"&lt;&gt;$",Dataset!$AC:$AC,"&lt;&gt;*AA*")</f>
        <v>0</v>
      </c>
      <c r="F43" s="28">
        <f>SUMIFS(Dataset!$AA:$AA,Dataset!$F:$F,Resumen!E$8,Dataset!$J:$J,"&gt;="&amp;$AC43,Dataset!$J:$J,"&lt;"&amp;$AD43,Dataset!$AH:$AH,"bono corporativo",Dataset!$T:$T,"&lt;&gt;UF",Dataset!$T:$T,"&lt;&gt;$",Dataset!$AC:$AC,"&lt;&gt;*AA*")</f>
        <v>0</v>
      </c>
      <c r="G43" s="27">
        <f>SUMIFS(Dataset!$AJ:$AJ,Dataset!$F:$F,Resumen!G$8,Dataset!$J:$J,"&gt;="&amp;$AC43,Dataset!$J:$J,"&lt;"&amp;$AD43,Dataset!$AH:$AH,"bono corporativo",Dataset!$T:$T,"&lt;&gt;UF",Dataset!$T:$T,"&lt;&gt;$",Dataset!$AC:$AC,"&lt;&gt;*AA*")</f>
        <v>0</v>
      </c>
      <c r="H43" s="28">
        <f>SUMIFS(Dataset!$AA:$AA,Dataset!$F:$F,Resumen!G$8,Dataset!$J:$J,"&gt;="&amp;$AC43,Dataset!$J:$J,"&lt;"&amp;$AD43,Dataset!$AH:$AH,"bono corporativo",Dataset!$T:$T,"&lt;&gt;UF",Dataset!$T:$T,"&lt;&gt;$",Dataset!$AC:$AC,"&lt;&gt;*AA*")</f>
        <v>0</v>
      </c>
      <c r="I43" s="27">
        <f>SUMIFS(Dataset!$AJ:$AJ,Dataset!$F:$F,Resumen!I$8,Dataset!$J:$J,"&gt;="&amp;$AC43,Dataset!$J:$J,"&lt;"&amp;$AD43,Dataset!$AH:$AH,"bono corporativo",Dataset!$T:$T,"&lt;&gt;UF",Dataset!$T:$T,"&lt;&gt;$",Dataset!$AC:$AC,"&lt;&gt;*AA*")</f>
        <v>0</v>
      </c>
      <c r="J43" s="28">
        <f>SUMIFS(Dataset!$AA:$AA,Dataset!$F:$F,Resumen!I$8,Dataset!$J:$J,"&gt;="&amp;$AC43,Dataset!$J:$J,"&lt;"&amp;$AD43,Dataset!$AH:$AH,"bono corporativo",Dataset!$T:$T,"&lt;&gt;UF",Dataset!$T:$T,"&lt;&gt;$",Dataset!$AC:$AC,"&lt;&gt;*AA*")</f>
        <v>0</v>
      </c>
      <c r="K43" s="27">
        <f>SUMIFS(Dataset!$AJ:$AJ,Dataset!$F:$F,Resumen!K$8,Dataset!$J:$J,"&gt;="&amp;$AC43,Dataset!$J:$J,"&lt;"&amp;$AD43,Dataset!$AH:$AH,"bono corporativo",Dataset!$T:$T,"&lt;&gt;UF",Dataset!$T:$T,"&lt;&gt;$",Dataset!$AC:$AC,"&lt;&gt;*AA*")</f>
        <v>0</v>
      </c>
      <c r="L43" s="28">
        <f>SUMIFS(Dataset!$AA:$AA,Dataset!$F:$F,Resumen!K$8,Dataset!$J:$J,"&gt;="&amp;$AC43,Dataset!$J:$J,"&lt;"&amp;$AD43,Dataset!$AH:$AH,"bono corporativo",Dataset!$T:$T,"&lt;&gt;UF",Dataset!$T:$T,"&lt;&gt;$",Dataset!$AC:$AC,"&lt;&gt;*AA*")</f>
        <v>0</v>
      </c>
      <c r="M43" s="27">
        <f>SUMIFS(Dataset!$AJ:$AJ,Dataset!$F:$F,Resumen!M$8,Dataset!$J:$J,"&gt;="&amp;$AC43,Dataset!$J:$J,"&lt;"&amp;$AD43,Dataset!$AH:$AH,"bono corporativo",Dataset!$T:$T,"&lt;&gt;UF",Dataset!$T:$T,"&lt;&gt;$",Dataset!$AC:$AC,"&lt;&gt;*AA*")</f>
        <v>9.8227489425742436E-3</v>
      </c>
      <c r="N43" s="28">
        <f>SUMIFS(Dataset!$AA:$AA,Dataset!$F:$F,Resumen!M$8,Dataset!$J:$J,"&gt;="&amp;$AC43,Dataset!$J:$J,"&lt;"&amp;$AD43,Dataset!$AH:$AH,"bono corporativo",Dataset!$T:$T,"&lt;&gt;UF",Dataset!$T:$T,"&lt;&gt;$",Dataset!$AC:$AC,"&lt;&gt;*AA*")</f>
        <v>0.10862479210387387</v>
      </c>
      <c r="O43" s="27">
        <f>SUMIFS(Dataset!$AJ:$AJ,Dataset!$F:$F,Resumen!O$8,Dataset!$J:$J,"&gt;="&amp;$AC43,Dataset!$J:$J,"&lt;"&amp;$AD43,Dataset!$AH:$AH,"bono corporativo",Dataset!$T:$T,"&lt;&gt;UF",Dataset!$T:$T,"&lt;&gt;$",Dataset!$AC:$AC,"&lt;&gt;*AA*")</f>
        <v>0</v>
      </c>
      <c r="P43" s="28">
        <f>SUMIFS(Dataset!$AA:$AA,Dataset!$F:$F,Resumen!O$8,Dataset!$J:$J,"&gt;="&amp;$AC43,Dataset!$J:$J,"&lt;"&amp;$AD43,Dataset!$AH:$AH,"bono corporativo",Dataset!$T:$T,"&lt;&gt;UF",Dataset!$T:$T,"&lt;&gt;$",Dataset!$AC:$AC,"&lt;&gt;*AA*")</f>
        <v>0</v>
      </c>
      <c r="Q43" s="27">
        <f>SUMIFS(Dataset!$AJ:$AJ,Dataset!$F:$F,Resumen!Q$8,Dataset!$J:$J,"&gt;="&amp;$AC43,Dataset!$J:$J,"&lt;"&amp;$AD43,Dataset!$AH:$AH,"bono corporativo",Dataset!$T:$T,"&lt;&gt;UF",Dataset!$T:$T,"&lt;&gt;$",Dataset!$AC:$AC,"&lt;&gt;*AA*")</f>
        <v>0</v>
      </c>
      <c r="R43" s="28">
        <f>SUMIFS(Dataset!$AA:$AA,Dataset!$F:$F,Resumen!Q$8,Dataset!$J:$J,"&gt;="&amp;$AC43,Dataset!$J:$J,"&lt;"&amp;$AD43,Dataset!$AH:$AH,"bono corporativo",Dataset!$T:$T,"&lt;&gt;UF",Dataset!$T:$T,"&lt;&gt;$",Dataset!$AC:$AC,"&lt;&gt;*AA*")</f>
        <v>0</v>
      </c>
      <c r="S43" s="27">
        <f>SUMIFS(Dataset!$AJ:$AJ,Dataset!$F:$F,Resumen!S$8,Dataset!$J:$J,"&gt;="&amp;$AC43,Dataset!$J:$J,"&lt;"&amp;$AD43,Dataset!$AH:$AH,"bono corporativo",Dataset!$T:$T,"&lt;&gt;UF",Dataset!$T:$T,"&lt;&gt;$",Dataset!$AC:$AC,"&lt;&gt;*AA*")</f>
        <v>0</v>
      </c>
      <c r="T43" s="28">
        <f>SUMIFS(Dataset!$AA:$AA,Dataset!$F:$F,Resumen!S$8,Dataset!$J:$J,"&gt;="&amp;$AC43,Dataset!$J:$J,"&lt;"&amp;$AD43,Dataset!$AH:$AH,"bono corporativo",Dataset!$T:$T,"&lt;&gt;UF",Dataset!$T:$T,"&lt;&gt;$",Dataset!$AC:$AC,"&lt;&gt;*AA*")</f>
        <v>0</v>
      </c>
      <c r="U43" s="27">
        <f>SUMIFS(Dataset!$AJ:$AJ,Dataset!$F:$F,Resumen!U$8,Dataset!$J:$J,"&gt;="&amp;$AC43,Dataset!$J:$J,"&lt;"&amp;$AD43,Dataset!$AH:$AH,"bono corporativo",Dataset!$T:$T,"&lt;&gt;UF",Dataset!$T:$T,"&lt;&gt;$",Dataset!$AC:$AC,"&lt;&gt;*AA*")</f>
        <v>0</v>
      </c>
      <c r="V43" s="28">
        <f>SUMIFS(Dataset!$AA:$AA,Dataset!$F:$F,Resumen!U$8,Dataset!$J:$J,"&gt;="&amp;$AC43,Dataset!$J:$J,"&lt;"&amp;$AD43,Dataset!$AH:$AH,"bono corporativo",Dataset!$T:$T,"&lt;&gt;UF",Dataset!$T:$T,"&lt;&gt;$",Dataset!$AC:$AC,"&lt;&gt;*AA*")</f>
        <v>0</v>
      </c>
      <c r="W43" s="27">
        <f>SUMIFS(Dataset!$AJ:$AJ,Dataset!$F:$F,Resumen!W$8,Dataset!$J:$J,"&gt;="&amp;$AC43,Dataset!$J:$J,"&lt;"&amp;$AD43,Dataset!$AH:$AH,"bono corporativo",Dataset!$T:$T,"&lt;&gt;UF",Dataset!$T:$T,"&lt;&gt;$",Dataset!$AC:$AC,"&lt;&gt;*AA*")</f>
        <v>0</v>
      </c>
      <c r="X43" s="28">
        <f>SUMIFS(Dataset!$AA:$AA,Dataset!$F:$F,Resumen!W$8,Dataset!$J:$J,"&gt;="&amp;$AC43,Dataset!$J:$J,"&lt;"&amp;$AD43,Dataset!$AH:$AH,"bono corporativo",Dataset!$T:$T,"&lt;&gt;UF",Dataset!$T:$T,"&lt;&gt;$",Dataset!$AC:$AC,"&lt;&gt;*AA*")</f>
        <v>0</v>
      </c>
      <c r="Y43" s="27">
        <f>SUMIFS(Dataset!$AJ:$AJ,Dataset!$F:$F,Resumen!Y$8,Dataset!$J:$J,"&gt;="&amp;$AC43,Dataset!$J:$J,"&lt;"&amp;$AD43,Dataset!$AH:$AH,"bono corporativo",Dataset!$T:$T,"&lt;&gt;UF",Dataset!$T:$T,"&lt;&gt;$",Dataset!$AC:$AC,"&lt;&gt;*AA*")</f>
        <v>0</v>
      </c>
      <c r="Z43" s="28">
        <f>SUMIFS(Dataset!$AA:$AA,Dataset!$F:$F,Resumen!Y$8,Dataset!$J:$J,"&gt;="&amp;$AC43,Dataset!$J:$J,"&lt;"&amp;$AD43,Dataset!$AH:$AH,"bono corporativo",Dataset!$T:$T,"&lt;&gt;UF",Dataset!$T:$T,"&lt;&gt;$",Dataset!$AC:$AC,"&lt;&gt;*AA*")</f>
        <v>0</v>
      </c>
      <c r="AA43" s="27">
        <f>SUMIFS(Dataset!$AJ:$AJ,Dataset!$F:$F,Resumen!AA$8,Dataset!$J:$J,"&gt;="&amp;$AC43,Dataset!$J:$J,"&lt;"&amp;$AD43,Dataset!$AH:$AH,"bono corporativo",Dataset!$T:$T,"&lt;&gt;UF",Dataset!$T:$T,"&lt;&gt;$",Dataset!$AC:$AC,"&lt;&gt;*AA*")</f>
        <v>0</v>
      </c>
      <c r="AB43" s="28">
        <f>SUMIFS(Dataset!$AA:$AA,Dataset!$F:$F,Resumen!AA$8,Dataset!$J:$J,"&gt;="&amp;$AC43,Dataset!$J:$J,"&lt;"&amp;$AD43,Dataset!$AH:$AH,"bono corporativo",Dataset!$T:$T,"&lt;&gt;UF",Dataset!$T:$T,"&lt;&gt;$",Dataset!$AC:$AC,"&lt;&gt;*AA*")</f>
        <v>0</v>
      </c>
      <c r="AC43" s="22">
        <v>3</v>
      </c>
      <c r="AD43" s="22">
        <v>5</v>
      </c>
    </row>
    <row r="44" spans="2:30" ht="30" customHeight="1" x14ac:dyDescent="0.3">
      <c r="B44" s="159"/>
      <c r="C44" s="158"/>
      <c r="D44" s="31" t="s">
        <v>121</v>
      </c>
      <c r="E44" s="27">
        <f>SUMIFS(Dataset!$AJ:$AJ,Dataset!$F:$F,Resumen!E$8,Dataset!$J:$J,"&gt;="&amp;$AC44,Dataset!$J:$J,"&lt;"&amp;$AD44,Dataset!$AH:$AH,"bono corporativo",Dataset!$T:$T,"&lt;&gt;UF",Dataset!$T:$T,"&lt;&gt;$",Dataset!$AC:$AC,"&lt;&gt;*AA*")</f>
        <v>0</v>
      </c>
      <c r="F44" s="28">
        <f>SUMIFS(Dataset!$AA:$AA,Dataset!$F:$F,Resumen!E$8,Dataset!$J:$J,"&gt;="&amp;$AC44,Dataset!$J:$J,"&lt;"&amp;$AD44,Dataset!$AH:$AH,"bono corporativo",Dataset!$T:$T,"&lt;&gt;UF",Dataset!$T:$T,"&lt;&gt;$",Dataset!$AC:$AC,"&lt;&gt;*AA*")</f>
        <v>0</v>
      </c>
      <c r="G44" s="27">
        <f>SUMIFS(Dataset!$AJ:$AJ,Dataset!$F:$F,Resumen!G$8,Dataset!$J:$J,"&gt;="&amp;$AC44,Dataset!$J:$J,"&lt;"&amp;$AD44,Dataset!$AH:$AH,"bono corporativo",Dataset!$T:$T,"&lt;&gt;UF",Dataset!$T:$T,"&lt;&gt;$",Dataset!$AC:$AC,"&lt;&gt;*AA*")</f>
        <v>0</v>
      </c>
      <c r="H44" s="28">
        <f>SUMIFS(Dataset!$AA:$AA,Dataset!$F:$F,Resumen!G$8,Dataset!$J:$J,"&gt;="&amp;$AC44,Dataset!$J:$J,"&lt;"&amp;$AD44,Dataset!$AH:$AH,"bono corporativo",Dataset!$T:$T,"&lt;&gt;UF",Dataset!$T:$T,"&lt;&gt;$",Dataset!$AC:$AC,"&lt;&gt;*AA*")</f>
        <v>0</v>
      </c>
      <c r="I44" s="27">
        <f>SUMIFS(Dataset!$AJ:$AJ,Dataset!$F:$F,Resumen!I$8,Dataset!$J:$J,"&gt;="&amp;$AC44,Dataset!$J:$J,"&lt;"&amp;$AD44,Dataset!$AH:$AH,"bono corporativo",Dataset!$T:$T,"&lt;&gt;UF",Dataset!$T:$T,"&lt;&gt;$",Dataset!$AC:$AC,"&lt;&gt;*AA*")</f>
        <v>0</v>
      </c>
      <c r="J44" s="28">
        <f>SUMIFS(Dataset!$AA:$AA,Dataset!$F:$F,Resumen!I$8,Dataset!$J:$J,"&gt;="&amp;$AC44,Dataset!$J:$J,"&lt;"&amp;$AD44,Dataset!$AH:$AH,"bono corporativo",Dataset!$T:$T,"&lt;&gt;UF",Dataset!$T:$T,"&lt;&gt;$",Dataset!$AC:$AC,"&lt;&gt;*AA*")</f>
        <v>0</v>
      </c>
      <c r="K44" s="27">
        <f>SUMIFS(Dataset!$AJ:$AJ,Dataset!$F:$F,Resumen!K$8,Dataset!$J:$J,"&gt;="&amp;$AC44,Dataset!$J:$J,"&lt;"&amp;$AD44,Dataset!$AH:$AH,"bono corporativo",Dataset!$T:$T,"&lt;&gt;UF",Dataset!$T:$T,"&lt;&gt;$",Dataset!$AC:$AC,"&lt;&gt;*AA*")</f>
        <v>0</v>
      </c>
      <c r="L44" s="28">
        <f>SUMIFS(Dataset!$AA:$AA,Dataset!$F:$F,Resumen!K$8,Dataset!$J:$J,"&gt;="&amp;$AC44,Dataset!$J:$J,"&lt;"&amp;$AD44,Dataset!$AH:$AH,"bono corporativo",Dataset!$T:$T,"&lt;&gt;UF",Dataset!$T:$T,"&lt;&gt;$",Dataset!$AC:$AC,"&lt;&gt;*AA*")</f>
        <v>0</v>
      </c>
      <c r="M44" s="27">
        <f>SUMIFS(Dataset!$AJ:$AJ,Dataset!$F:$F,Resumen!M$8,Dataset!$J:$J,"&gt;="&amp;$AC44,Dataset!$J:$J,"&lt;"&amp;$AD44,Dataset!$AH:$AH,"bono corporativo",Dataset!$T:$T,"&lt;&gt;UF",Dataset!$T:$T,"&lt;&gt;$",Dataset!$AC:$AC,"&lt;&gt;*AA*")</f>
        <v>1.4650408996752178E-2</v>
      </c>
      <c r="N44" s="28">
        <f>SUMIFS(Dataset!$AA:$AA,Dataset!$F:$F,Resumen!M$8,Dataset!$J:$J,"&gt;="&amp;$AC44,Dataset!$J:$J,"&lt;"&amp;$AD44,Dataset!$AH:$AH,"bono corporativo",Dataset!$T:$T,"&lt;&gt;UF",Dataset!$T:$T,"&lt;&gt;$",Dataset!$AC:$AC,"&lt;&gt;*AA*")</f>
        <v>0.16201143293110287</v>
      </c>
      <c r="O44" s="27">
        <f>SUMIFS(Dataset!$AJ:$AJ,Dataset!$F:$F,Resumen!O$8,Dataset!$J:$J,"&gt;="&amp;$AC44,Dataset!$J:$J,"&lt;"&amp;$AD44,Dataset!$AH:$AH,"bono corporativo",Dataset!$T:$T,"&lt;&gt;UF",Dataset!$T:$T,"&lt;&gt;$",Dataset!$AC:$AC,"&lt;&gt;*AA*")</f>
        <v>0</v>
      </c>
      <c r="P44" s="28">
        <f>SUMIFS(Dataset!$AA:$AA,Dataset!$F:$F,Resumen!O$8,Dataset!$J:$J,"&gt;="&amp;$AC44,Dataset!$J:$J,"&lt;"&amp;$AD44,Dataset!$AH:$AH,"bono corporativo",Dataset!$T:$T,"&lt;&gt;UF",Dataset!$T:$T,"&lt;&gt;$",Dataset!$AC:$AC,"&lt;&gt;*AA*")</f>
        <v>0</v>
      </c>
      <c r="Q44" s="27">
        <f>SUMIFS(Dataset!$AJ:$AJ,Dataset!$F:$F,Resumen!Q$8,Dataset!$J:$J,"&gt;="&amp;$AC44,Dataset!$J:$J,"&lt;"&amp;$AD44,Dataset!$AH:$AH,"bono corporativo",Dataset!$T:$T,"&lt;&gt;UF",Dataset!$T:$T,"&lt;&gt;$",Dataset!$AC:$AC,"&lt;&gt;*AA*")</f>
        <v>0</v>
      </c>
      <c r="R44" s="28">
        <f>SUMIFS(Dataset!$AA:$AA,Dataset!$F:$F,Resumen!Q$8,Dataset!$J:$J,"&gt;="&amp;$AC44,Dataset!$J:$J,"&lt;"&amp;$AD44,Dataset!$AH:$AH,"bono corporativo",Dataset!$T:$T,"&lt;&gt;UF",Dataset!$T:$T,"&lt;&gt;$",Dataset!$AC:$AC,"&lt;&gt;*AA*")</f>
        <v>0</v>
      </c>
      <c r="S44" s="27">
        <f>SUMIFS(Dataset!$AJ:$AJ,Dataset!$F:$F,Resumen!S$8,Dataset!$J:$J,"&gt;="&amp;$AC44,Dataset!$J:$J,"&lt;"&amp;$AD44,Dataset!$AH:$AH,"bono corporativo",Dataset!$T:$T,"&lt;&gt;UF",Dataset!$T:$T,"&lt;&gt;$",Dataset!$AC:$AC,"&lt;&gt;*AA*")</f>
        <v>0</v>
      </c>
      <c r="T44" s="28">
        <f>SUMIFS(Dataset!$AA:$AA,Dataset!$F:$F,Resumen!S$8,Dataset!$J:$J,"&gt;="&amp;$AC44,Dataset!$J:$J,"&lt;"&amp;$AD44,Dataset!$AH:$AH,"bono corporativo",Dataset!$T:$T,"&lt;&gt;UF",Dataset!$T:$T,"&lt;&gt;$",Dataset!$AC:$AC,"&lt;&gt;*AA*")</f>
        <v>0</v>
      </c>
      <c r="U44" s="27">
        <f>SUMIFS(Dataset!$AJ:$AJ,Dataset!$F:$F,Resumen!U$8,Dataset!$J:$J,"&gt;="&amp;$AC44,Dataset!$J:$J,"&lt;"&amp;$AD44,Dataset!$AH:$AH,"bono corporativo",Dataset!$T:$T,"&lt;&gt;UF",Dataset!$T:$T,"&lt;&gt;$",Dataset!$AC:$AC,"&lt;&gt;*AA*")</f>
        <v>0</v>
      </c>
      <c r="V44" s="28">
        <f>SUMIFS(Dataset!$AA:$AA,Dataset!$F:$F,Resumen!U$8,Dataset!$J:$J,"&gt;="&amp;$AC44,Dataset!$J:$J,"&lt;"&amp;$AD44,Dataset!$AH:$AH,"bono corporativo",Dataset!$T:$T,"&lt;&gt;UF",Dataset!$T:$T,"&lt;&gt;$",Dataset!$AC:$AC,"&lt;&gt;*AA*")</f>
        <v>0</v>
      </c>
      <c r="W44" s="27">
        <f>SUMIFS(Dataset!$AJ:$AJ,Dataset!$F:$F,Resumen!W$8,Dataset!$J:$J,"&gt;="&amp;$AC44,Dataset!$J:$J,"&lt;"&amp;$AD44,Dataset!$AH:$AH,"bono corporativo",Dataset!$T:$T,"&lt;&gt;UF",Dataset!$T:$T,"&lt;&gt;$",Dataset!$AC:$AC,"&lt;&gt;*AA*")</f>
        <v>0</v>
      </c>
      <c r="X44" s="28">
        <f>SUMIFS(Dataset!$AA:$AA,Dataset!$F:$F,Resumen!W$8,Dataset!$J:$J,"&gt;="&amp;$AC44,Dataset!$J:$J,"&lt;"&amp;$AD44,Dataset!$AH:$AH,"bono corporativo",Dataset!$T:$T,"&lt;&gt;UF",Dataset!$T:$T,"&lt;&gt;$",Dataset!$AC:$AC,"&lt;&gt;*AA*")</f>
        <v>0</v>
      </c>
      <c r="Y44" s="27">
        <f>SUMIFS(Dataset!$AJ:$AJ,Dataset!$F:$F,Resumen!Y$8,Dataset!$J:$J,"&gt;="&amp;$AC44,Dataset!$J:$J,"&lt;"&amp;$AD44,Dataset!$AH:$AH,"bono corporativo",Dataset!$T:$T,"&lt;&gt;UF",Dataset!$T:$T,"&lt;&gt;$",Dataset!$AC:$AC,"&lt;&gt;*AA*")</f>
        <v>0</v>
      </c>
      <c r="Z44" s="28">
        <f>SUMIFS(Dataset!$AA:$AA,Dataset!$F:$F,Resumen!Y$8,Dataset!$J:$J,"&gt;="&amp;$AC44,Dataset!$J:$J,"&lt;"&amp;$AD44,Dataset!$AH:$AH,"bono corporativo",Dataset!$T:$T,"&lt;&gt;UF",Dataset!$T:$T,"&lt;&gt;$",Dataset!$AC:$AC,"&lt;&gt;*AA*")</f>
        <v>0</v>
      </c>
      <c r="AA44" s="27">
        <f>SUMIFS(Dataset!$AJ:$AJ,Dataset!$F:$F,Resumen!AA$8,Dataset!$J:$J,"&gt;="&amp;$AC44,Dataset!$J:$J,"&lt;"&amp;$AD44,Dataset!$AH:$AH,"bono corporativo",Dataset!$T:$T,"&lt;&gt;UF",Dataset!$T:$T,"&lt;&gt;$",Dataset!$AC:$AC,"&lt;&gt;*AA*")</f>
        <v>0</v>
      </c>
      <c r="AB44" s="28">
        <f>SUMIFS(Dataset!$AA:$AA,Dataset!$F:$F,Resumen!AA$8,Dataset!$J:$J,"&gt;="&amp;$AC44,Dataset!$J:$J,"&lt;"&amp;$AD44,Dataset!$AH:$AH,"bono corporativo",Dataset!$T:$T,"&lt;&gt;UF",Dataset!$T:$T,"&lt;&gt;$",Dataset!$AC:$AC,"&lt;&gt;*AA*")</f>
        <v>0</v>
      </c>
      <c r="AC44" s="22">
        <v>5</v>
      </c>
      <c r="AD44" s="22">
        <v>10</v>
      </c>
    </row>
    <row r="45" spans="2:30" ht="30" customHeight="1" x14ac:dyDescent="0.3">
      <c r="B45" s="159"/>
      <c r="C45" s="158"/>
      <c r="D45" s="31" t="s">
        <v>122</v>
      </c>
      <c r="E45" s="29">
        <f>SUMIFS(Dataset!$AJ:$AJ,Dataset!$F:$F,Resumen!E$8,Dataset!$J:$J,"&gt;="&amp;$AC45,Dataset!$J:$J,"&lt;"&amp;$AD45,Dataset!$AH:$AH,"bono corporativo",Dataset!$T:$T,"&lt;&gt;UF",Dataset!$T:$T,"&lt;&gt;$",Dataset!$AC:$AC,"&lt;&gt;*AA*")</f>
        <v>0</v>
      </c>
      <c r="F45" s="30">
        <f>SUMIFS(Dataset!$AA:$AA,Dataset!$F:$F,Resumen!E$8,Dataset!$J:$J,"&gt;="&amp;$AC45,Dataset!$J:$J,"&lt;"&amp;$AD45,Dataset!$AH:$AH,"bono corporativo",Dataset!$T:$T,"&lt;&gt;UF",Dataset!$T:$T,"&lt;&gt;$",Dataset!$AC:$AC,"&lt;&gt;*AA*")</f>
        <v>0</v>
      </c>
      <c r="G45" s="29">
        <f>SUMIFS(Dataset!$AJ:$AJ,Dataset!$F:$F,Resumen!G$8,Dataset!$J:$J,"&gt;="&amp;$AC45,Dataset!$J:$J,"&lt;"&amp;$AD45,Dataset!$AH:$AH,"bono corporativo",Dataset!$T:$T,"&lt;&gt;UF",Dataset!$T:$T,"&lt;&gt;$",Dataset!$AC:$AC,"&lt;&gt;*AA*")</f>
        <v>0</v>
      </c>
      <c r="H45" s="30">
        <f>SUMIFS(Dataset!$AA:$AA,Dataset!$F:$F,Resumen!G$8,Dataset!$J:$J,"&gt;="&amp;$AC45,Dataset!$J:$J,"&lt;"&amp;$AD45,Dataset!$AH:$AH,"bono corporativo",Dataset!$T:$T,"&lt;&gt;UF",Dataset!$T:$T,"&lt;&gt;$",Dataset!$AC:$AC,"&lt;&gt;*AA*")</f>
        <v>0</v>
      </c>
      <c r="I45" s="29">
        <f>SUMIFS(Dataset!$AJ:$AJ,Dataset!$F:$F,Resumen!I$8,Dataset!$J:$J,"&gt;="&amp;$AC45,Dataset!$J:$J,"&lt;"&amp;$AD45,Dataset!$AH:$AH,"bono corporativo",Dataset!$T:$T,"&lt;&gt;UF",Dataset!$T:$T,"&lt;&gt;$",Dataset!$AC:$AC,"&lt;&gt;*AA*")</f>
        <v>0</v>
      </c>
      <c r="J45" s="30">
        <f>SUMIFS(Dataset!$AA:$AA,Dataset!$F:$F,Resumen!I$8,Dataset!$J:$J,"&gt;="&amp;$AC45,Dataset!$J:$J,"&lt;"&amp;$AD45,Dataset!$AH:$AH,"bono corporativo",Dataset!$T:$T,"&lt;&gt;UF",Dataset!$T:$T,"&lt;&gt;$",Dataset!$AC:$AC,"&lt;&gt;*AA*")</f>
        <v>0</v>
      </c>
      <c r="K45" s="29">
        <f>SUMIFS(Dataset!$AJ:$AJ,Dataset!$F:$F,Resumen!K$8,Dataset!$J:$J,"&gt;="&amp;$AC45,Dataset!$J:$J,"&lt;"&amp;$AD45,Dataset!$AH:$AH,"bono corporativo",Dataset!$T:$T,"&lt;&gt;UF",Dataset!$T:$T,"&lt;&gt;$",Dataset!$AC:$AC,"&lt;&gt;*AA*")</f>
        <v>0</v>
      </c>
      <c r="L45" s="30">
        <f>SUMIFS(Dataset!$AA:$AA,Dataset!$F:$F,Resumen!K$8,Dataset!$J:$J,"&gt;="&amp;$AC45,Dataset!$J:$J,"&lt;"&amp;$AD45,Dataset!$AH:$AH,"bono corporativo",Dataset!$T:$T,"&lt;&gt;UF",Dataset!$T:$T,"&lt;&gt;$",Dataset!$AC:$AC,"&lt;&gt;*AA*")</f>
        <v>0</v>
      </c>
      <c r="M45" s="29">
        <f>SUMIFS(Dataset!$AJ:$AJ,Dataset!$F:$F,Resumen!M$8,Dataset!$J:$J,"&gt;="&amp;$AC45,Dataset!$J:$J,"&lt;"&amp;$AD45,Dataset!$AH:$AH,"bono corporativo",Dataset!$T:$T,"&lt;&gt;UF",Dataset!$T:$T,"&lt;&gt;$",Dataset!$AC:$AC,"&lt;&gt;*AA*")</f>
        <v>0</v>
      </c>
      <c r="N45" s="30">
        <f>SUMIFS(Dataset!$AA:$AA,Dataset!$F:$F,Resumen!M$8,Dataset!$J:$J,"&gt;="&amp;$AC45,Dataset!$J:$J,"&lt;"&amp;$AD45,Dataset!$AH:$AH,"bono corporativo",Dataset!$T:$T,"&lt;&gt;UF",Dataset!$T:$T,"&lt;&gt;$",Dataset!$AC:$AC,"&lt;&gt;*AA*")</f>
        <v>0</v>
      </c>
      <c r="O45" s="29">
        <f>SUMIFS(Dataset!$AJ:$AJ,Dataset!$F:$F,Resumen!O$8,Dataset!$J:$J,"&gt;="&amp;$AC45,Dataset!$J:$J,"&lt;"&amp;$AD45,Dataset!$AH:$AH,"bono corporativo",Dataset!$T:$T,"&lt;&gt;UF",Dataset!$T:$T,"&lt;&gt;$",Dataset!$AC:$AC,"&lt;&gt;*AA*")</f>
        <v>0</v>
      </c>
      <c r="P45" s="30">
        <f>SUMIFS(Dataset!$AA:$AA,Dataset!$F:$F,Resumen!O$8,Dataset!$J:$J,"&gt;="&amp;$AC45,Dataset!$J:$J,"&lt;"&amp;$AD45,Dataset!$AH:$AH,"bono corporativo",Dataset!$T:$T,"&lt;&gt;UF",Dataset!$T:$T,"&lt;&gt;$",Dataset!$AC:$AC,"&lt;&gt;*AA*")</f>
        <v>0</v>
      </c>
      <c r="Q45" s="29">
        <f>SUMIFS(Dataset!$AJ:$AJ,Dataset!$F:$F,Resumen!Q$8,Dataset!$J:$J,"&gt;="&amp;$AC45,Dataset!$J:$J,"&lt;"&amp;$AD45,Dataset!$AH:$AH,"bono corporativo",Dataset!$T:$T,"&lt;&gt;UF",Dataset!$T:$T,"&lt;&gt;$",Dataset!$AC:$AC,"&lt;&gt;*AA*")</f>
        <v>0</v>
      </c>
      <c r="R45" s="30">
        <f>SUMIFS(Dataset!$AA:$AA,Dataset!$F:$F,Resumen!Q$8,Dataset!$J:$J,"&gt;="&amp;$AC45,Dataset!$J:$J,"&lt;"&amp;$AD45,Dataset!$AH:$AH,"bono corporativo",Dataset!$T:$T,"&lt;&gt;UF",Dataset!$T:$T,"&lt;&gt;$",Dataset!$AC:$AC,"&lt;&gt;*AA*")</f>
        <v>0</v>
      </c>
      <c r="S45" s="29">
        <f>SUMIFS(Dataset!$AJ:$AJ,Dataset!$F:$F,Resumen!S$8,Dataset!$J:$J,"&gt;="&amp;$AC45,Dataset!$J:$J,"&lt;"&amp;$AD45,Dataset!$AH:$AH,"bono corporativo",Dataset!$T:$T,"&lt;&gt;UF",Dataset!$T:$T,"&lt;&gt;$",Dataset!$AC:$AC,"&lt;&gt;*AA*")</f>
        <v>0</v>
      </c>
      <c r="T45" s="30">
        <f>SUMIFS(Dataset!$AA:$AA,Dataset!$F:$F,Resumen!S$8,Dataset!$J:$J,"&gt;="&amp;$AC45,Dataset!$J:$J,"&lt;"&amp;$AD45,Dataset!$AH:$AH,"bono corporativo",Dataset!$T:$T,"&lt;&gt;UF",Dataset!$T:$T,"&lt;&gt;$",Dataset!$AC:$AC,"&lt;&gt;*AA*")</f>
        <v>0</v>
      </c>
      <c r="U45" s="29">
        <f>SUMIFS(Dataset!$AJ:$AJ,Dataset!$F:$F,Resumen!U$8,Dataset!$J:$J,"&gt;="&amp;$AC45,Dataset!$J:$J,"&lt;"&amp;$AD45,Dataset!$AH:$AH,"bono corporativo",Dataset!$T:$T,"&lt;&gt;UF",Dataset!$T:$T,"&lt;&gt;$",Dataset!$AC:$AC,"&lt;&gt;*AA*")</f>
        <v>0</v>
      </c>
      <c r="V45" s="30">
        <f>SUMIFS(Dataset!$AA:$AA,Dataset!$F:$F,Resumen!U$8,Dataset!$J:$J,"&gt;="&amp;$AC45,Dataset!$J:$J,"&lt;"&amp;$AD45,Dataset!$AH:$AH,"bono corporativo",Dataset!$T:$T,"&lt;&gt;UF",Dataset!$T:$T,"&lt;&gt;$",Dataset!$AC:$AC,"&lt;&gt;*AA*")</f>
        <v>0</v>
      </c>
      <c r="W45" s="29">
        <f>SUMIFS(Dataset!$AJ:$AJ,Dataset!$F:$F,Resumen!W$8,Dataset!$J:$J,"&gt;="&amp;$AC45,Dataset!$J:$J,"&lt;"&amp;$AD45,Dataset!$AH:$AH,"bono corporativo",Dataset!$T:$T,"&lt;&gt;UF",Dataset!$T:$T,"&lt;&gt;$",Dataset!$AC:$AC,"&lt;&gt;*AA*")</f>
        <v>0</v>
      </c>
      <c r="X45" s="30">
        <f>SUMIFS(Dataset!$AA:$AA,Dataset!$F:$F,Resumen!W$8,Dataset!$J:$J,"&gt;="&amp;$AC45,Dataset!$J:$J,"&lt;"&amp;$AD45,Dataset!$AH:$AH,"bono corporativo",Dataset!$T:$T,"&lt;&gt;UF",Dataset!$T:$T,"&lt;&gt;$",Dataset!$AC:$AC,"&lt;&gt;*AA*")</f>
        <v>0</v>
      </c>
      <c r="Y45" s="29">
        <f>SUMIFS(Dataset!$AJ:$AJ,Dataset!$F:$F,Resumen!Y$8,Dataset!$J:$J,"&gt;="&amp;$AC45,Dataset!$J:$J,"&lt;"&amp;$AD45,Dataset!$AH:$AH,"bono corporativo",Dataset!$T:$T,"&lt;&gt;UF",Dataset!$T:$T,"&lt;&gt;$",Dataset!$AC:$AC,"&lt;&gt;*AA*")</f>
        <v>0</v>
      </c>
      <c r="Z45" s="30">
        <f>SUMIFS(Dataset!$AA:$AA,Dataset!$F:$F,Resumen!Y$8,Dataset!$J:$J,"&gt;="&amp;$AC45,Dataset!$J:$J,"&lt;"&amp;$AD45,Dataset!$AH:$AH,"bono corporativo",Dataset!$T:$T,"&lt;&gt;UF",Dataset!$T:$T,"&lt;&gt;$",Dataset!$AC:$AC,"&lt;&gt;*AA*")</f>
        <v>0</v>
      </c>
      <c r="AA45" s="29">
        <f>SUMIFS(Dataset!$AJ:$AJ,Dataset!$F:$F,Resumen!AA$8,Dataset!$J:$J,"&gt;="&amp;$AC45,Dataset!$J:$J,"&lt;"&amp;$AD45,Dataset!$AH:$AH,"bono corporativo",Dataset!$T:$T,"&lt;&gt;UF",Dataset!$T:$T,"&lt;&gt;$",Dataset!$AC:$AC,"&lt;&gt;*AA*")</f>
        <v>0</v>
      </c>
      <c r="AB45" s="30">
        <f>SUMIFS(Dataset!$AA:$AA,Dataset!$F:$F,Resumen!AA$8,Dataset!$J:$J,"&gt;="&amp;$AC45,Dataset!$J:$J,"&lt;"&amp;$AD45,Dataset!$AH:$AH,"bono corporativo",Dataset!$T:$T,"&lt;&gt;UF",Dataset!$T:$T,"&lt;&gt;$",Dataset!$AC:$AC,"&lt;&gt;*AA*")</f>
        <v>0</v>
      </c>
      <c r="AC45" s="22">
        <v>10</v>
      </c>
      <c r="AD45" s="22">
        <v>100</v>
      </c>
    </row>
    <row r="46" spans="2:30" ht="30" customHeight="1" x14ac:dyDescent="0.3">
      <c r="B46" s="159" t="s">
        <v>128</v>
      </c>
      <c r="C46" s="160" t="s">
        <v>129</v>
      </c>
      <c r="D46" s="160"/>
      <c r="E46" s="24">
        <f>SUMIFS(Dataset!$AJ:$AJ,Dataset!$F:$F,Resumen!E$8,Dataset!$J:$J,"&gt;="&amp;$AC46/365,Dataset!$J:$J,"&lt;"&amp;$AD46/365,Dataset!$AH:$AH,"deposito")+SUMIFS(Dataset!$AJ:$AJ,Dataset!$F:$F,Resumen!E$8,Dataset!$J:$J,"&gt;="&amp;$AC46/365,Dataset!$J:$J,"&lt;"&amp;$AD46/365,Dataset!$AH:$AH,"*factura*")</f>
        <v>1.962137758675887E-3</v>
      </c>
      <c r="F46" s="25">
        <f>SUMIFS(Dataset!$AA:$AA,Dataset!$F:$F,Resumen!E$8,Dataset!$J:$J,"&gt;="&amp;$AC46/365,Dataset!$J:$J,"&lt;"&amp;$AD46/365,Dataset!$AH:$AH,"deposito")+SUMIFS(Dataset!$AA:$AA,Dataset!$F:$F,Resumen!E$8,Dataset!$J:$J,"&gt;="&amp;$AC46/365,Dataset!$J:$J,"&lt;"&amp;$AD46/365,Dataset!$AH:$AH,"*factura*")</f>
        <v>-9.603386797777137E-5</v>
      </c>
      <c r="G46" s="24">
        <f>SUMIFS(Dataset!$AJ:$AJ,Dataset!$F:$F,Resumen!G$8,Dataset!$J:$J,"&gt;="&amp;$AC46/365,Dataset!$J:$J,"&lt;"&amp;$AD46/365,Dataset!$AH:$AH,"deposito")+SUMIFS(Dataset!$AJ:$AJ,Dataset!$F:$F,Resumen!G$8,Dataset!$J:$J,"&gt;="&amp;$AC46/365,Dataset!$J:$J,"&lt;"&amp;$AD46/365,Dataset!$AH:$AH,"*factura*")</f>
        <v>0</v>
      </c>
      <c r="H46" s="25">
        <f>SUMIFS(Dataset!$AA:$AA,Dataset!$F:$F,Resumen!G$8,Dataset!$J:$J,"&gt;="&amp;$AC46/365,Dataset!$J:$J,"&lt;"&amp;$AD46/365,Dataset!$AH:$AH,"deposito")+SUMIFS(Dataset!$AA:$AA,Dataset!$F:$F,Resumen!G$8,Dataset!$J:$J,"&gt;="&amp;$AC46/365,Dataset!$J:$J,"&lt;"&amp;$AD46/365,Dataset!$AH:$AH,"*factura*")</f>
        <v>0</v>
      </c>
      <c r="I46" s="24">
        <f>SUMIFS(Dataset!$AJ:$AJ,Dataset!$F:$F,Resumen!I$8,Dataset!$J:$J,"&gt;="&amp;$AC46/365,Dataset!$J:$J,"&lt;"&amp;$AD46/365,Dataset!$AH:$AH,"deposito")+SUMIFS(Dataset!$AJ:$AJ,Dataset!$F:$F,Resumen!I$8,Dataset!$J:$J,"&gt;="&amp;$AC46/365,Dataset!$J:$J,"&lt;"&amp;$AD46/365,Dataset!$AH:$AH,"*factura*")</f>
        <v>0</v>
      </c>
      <c r="J46" s="25">
        <f>SUMIFS(Dataset!$AA:$AA,Dataset!$F:$F,Resumen!I$8,Dataset!$J:$J,"&gt;="&amp;$AC46/365,Dataset!$J:$J,"&lt;"&amp;$AD46/365,Dataset!$AH:$AH,"deposito")+SUMIFS(Dataset!$AA:$AA,Dataset!$F:$F,Resumen!I$8,Dataset!$J:$J,"&gt;="&amp;$AC46/365,Dataset!$J:$J,"&lt;"&amp;$AD46/365,Dataset!$AH:$AH,"*factura*")</f>
        <v>0</v>
      </c>
      <c r="K46" s="24">
        <f>SUMIFS(Dataset!$AJ:$AJ,Dataset!$F:$F,Resumen!K$8,Dataset!$J:$J,"&gt;="&amp;$AC46/365,Dataset!$J:$J,"&lt;"&amp;$AD46/365,Dataset!$AH:$AH,"deposito")+SUMIFS(Dataset!$AJ:$AJ,Dataset!$F:$F,Resumen!K$8,Dataset!$J:$J,"&gt;="&amp;$AC46/365,Dataset!$J:$J,"&lt;"&amp;$AD46/365,Dataset!$AH:$AH,"*factura*")</f>
        <v>0</v>
      </c>
      <c r="L46" s="25">
        <f>SUMIFS(Dataset!$AA:$AA,Dataset!$F:$F,Resumen!K$8,Dataset!$J:$J,"&gt;="&amp;$AC46/365,Dataset!$J:$J,"&lt;"&amp;$AD46/365,Dataset!$AH:$AH,"deposito")+SUMIFS(Dataset!$AA:$AA,Dataset!$F:$F,Resumen!K$8,Dataset!$J:$J,"&gt;="&amp;$AC46/365,Dataset!$J:$J,"&lt;"&amp;$AD46/365,Dataset!$AH:$AH,"*factura*")</f>
        <v>0</v>
      </c>
      <c r="M46" s="24">
        <f>SUMIFS(Dataset!$AJ:$AJ,Dataset!$F:$F,Resumen!M$8,Dataset!$J:$J,"&gt;="&amp;$AC46/365,Dataset!$J:$J,"&lt;"&amp;$AD46/365,Dataset!$AH:$AH,"deposito")+SUMIFS(Dataset!$AJ:$AJ,Dataset!$F:$F,Resumen!M$8,Dataset!$J:$J,"&gt;="&amp;$AC46/365,Dataset!$J:$J,"&lt;"&amp;$AD46/365,Dataset!$AH:$AH,"*factura*")</f>
        <v>2.2598504019913975E-3</v>
      </c>
      <c r="N46" s="25">
        <f>SUMIFS(Dataset!$AA:$AA,Dataset!$F:$F,Resumen!M$8,Dataset!$J:$J,"&gt;="&amp;$AC46/365,Dataset!$J:$J,"&lt;"&amp;$AD46/365,Dataset!$AH:$AH,"deposito")+SUMIFS(Dataset!$AA:$AA,Dataset!$F:$F,Resumen!M$8,Dataset!$J:$J,"&gt;="&amp;$AC46/365,Dataset!$J:$J,"&lt;"&amp;$AD46/365,Dataset!$AH:$AH,"*factura*")</f>
        <v>-1.8958072166964422E-4</v>
      </c>
      <c r="O46" s="24">
        <f>SUMIFS(Dataset!$AJ:$AJ,Dataset!$F:$F,Resumen!O$8,Dataset!$J:$J,"&gt;="&amp;$AC46/365,Dataset!$J:$J,"&lt;"&amp;$AD46/365,Dataset!$AH:$AH,"deposito")+SUMIFS(Dataset!$AJ:$AJ,Dataset!$F:$F,Resumen!O$8,Dataset!$J:$J,"&gt;="&amp;$AC46/365,Dataset!$J:$J,"&lt;"&amp;$AD46/365,Dataset!$AH:$AH,"*factura*")</f>
        <v>0</v>
      </c>
      <c r="P46" s="25">
        <f>SUMIFS(Dataset!$AA:$AA,Dataset!$F:$F,Resumen!O$8,Dataset!$J:$J,"&gt;="&amp;$AC46/365,Dataset!$J:$J,"&lt;"&amp;$AD46/365,Dataset!$AH:$AH,"deposito")+SUMIFS(Dataset!$AA:$AA,Dataset!$F:$F,Resumen!O$8,Dataset!$J:$J,"&gt;="&amp;$AC46/365,Dataset!$J:$J,"&lt;"&amp;$AD46/365,Dataset!$AH:$AH,"*factura*")</f>
        <v>0</v>
      </c>
      <c r="Q46" s="24">
        <f>SUMIFS(Dataset!$AJ:$AJ,Dataset!$F:$F,Resumen!Q$8,Dataset!$J:$J,"&gt;="&amp;$AC46/365,Dataset!$J:$J,"&lt;"&amp;$AD46/365,Dataset!$AH:$AH,"deposito")+SUMIFS(Dataset!$AJ:$AJ,Dataset!$F:$F,Resumen!Q$8,Dataset!$J:$J,"&gt;="&amp;$AC46/365,Dataset!$J:$J,"&lt;"&amp;$AD46/365,Dataset!$AH:$AH,"*factura*")</f>
        <v>0</v>
      </c>
      <c r="R46" s="25">
        <f>SUMIFS(Dataset!$AA:$AA,Dataset!$F:$F,Resumen!Q$8,Dataset!$J:$J,"&gt;="&amp;$AC46/365,Dataset!$J:$J,"&lt;"&amp;$AD46/365,Dataset!$AH:$AH,"deposito")+SUMIFS(Dataset!$AA:$AA,Dataset!$F:$F,Resumen!Q$8,Dataset!$J:$J,"&gt;="&amp;$AC46/365,Dataset!$J:$J,"&lt;"&amp;$AD46/365,Dataset!$AH:$AH,"*factura*")</f>
        <v>0</v>
      </c>
      <c r="S46" s="24">
        <f>SUMIFS(Dataset!$AJ:$AJ,Dataset!$F:$F,Resumen!S$8,Dataset!$J:$J,"&gt;="&amp;$AC46/365,Dataset!$J:$J,"&lt;"&amp;$AD46/365,Dataset!$AH:$AH,"deposito")+SUMIFS(Dataset!$AJ:$AJ,Dataset!$F:$F,Resumen!S$8,Dataset!$J:$J,"&gt;="&amp;$AC46/365,Dataset!$J:$J,"&lt;"&amp;$AD46/365,Dataset!$AH:$AH,"*factura*")</f>
        <v>0</v>
      </c>
      <c r="T46" s="25">
        <f>SUMIFS(Dataset!$AA:$AA,Dataset!$F:$F,Resumen!S$8,Dataset!$J:$J,"&gt;="&amp;$AC46/365,Dataset!$J:$J,"&lt;"&amp;$AD46/365,Dataset!$AH:$AH,"deposito")+SUMIFS(Dataset!$AA:$AA,Dataset!$F:$F,Resumen!S$8,Dataset!$J:$J,"&gt;="&amp;$AC46/365,Dataset!$J:$J,"&lt;"&amp;$AD46/365,Dataset!$AH:$AH,"*factura*")</f>
        <v>0</v>
      </c>
      <c r="U46" s="24">
        <f>SUMIFS(Dataset!$AJ:$AJ,Dataset!$F:$F,Resumen!U$8,Dataset!$J:$J,"&gt;="&amp;$AC46/365,Dataset!$J:$J,"&lt;"&amp;$AD46/365,Dataset!$AH:$AH,"deposito")+SUMIFS(Dataset!$AJ:$AJ,Dataset!$F:$F,Resumen!U$8,Dataset!$J:$J,"&gt;="&amp;$AC46/365,Dataset!$J:$J,"&lt;"&amp;$AD46/365,Dataset!$AH:$AH,"*factura*")</f>
        <v>0</v>
      </c>
      <c r="V46" s="25">
        <f>SUMIFS(Dataset!$AA:$AA,Dataset!$F:$F,Resumen!U$8,Dataset!$J:$J,"&gt;="&amp;$AC46/365,Dataset!$J:$J,"&lt;"&amp;$AD46/365,Dataset!$AH:$AH,"deposito")+SUMIFS(Dataset!$AA:$AA,Dataset!$F:$F,Resumen!U$8,Dataset!$J:$J,"&gt;="&amp;$AC46/365,Dataset!$J:$J,"&lt;"&amp;$AD46/365,Dataset!$AH:$AH,"*factura*")</f>
        <v>0</v>
      </c>
      <c r="W46" s="24">
        <f>SUMIFS(Dataset!$AJ:$AJ,Dataset!$F:$F,Resumen!W$8,Dataset!$J:$J,"&gt;="&amp;$AC46/365,Dataset!$J:$J,"&lt;"&amp;$AD46/365,Dataset!$AH:$AH,"deposito")+SUMIFS(Dataset!$AJ:$AJ,Dataset!$F:$F,Resumen!W$8,Dataset!$J:$J,"&gt;="&amp;$AC46/365,Dataset!$J:$J,"&lt;"&amp;$AD46/365,Dataset!$AH:$AH,"*factura*")</f>
        <v>0</v>
      </c>
      <c r="X46" s="25">
        <f>SUMIFS(Dataset!$AA:$AA,Dataset!$F:$F,Resumen!W$8,Dataset!$J:$J,"&gt;="&amp;$AC46/365,Dataset!$J:$J,"&lt;"&amp;$AD46/365,Dataset!$AH:$AH,"deposito")+SUMIFS(Dataset!$AA:$AA,Dataset!$F:$F,Resumen!W$8,Dataset!$J:$J,"&gt;="&amp;$AC46/365,Dataset!$J:$J,"&lt;"&amp;$AD46/365,Dataset!$AH:$AH,"*factura*")</f>
        <v>0</v>
      </c>
      <c r="Y46" s="24">
        <f>SUMIFS(Dataset!$AJ:$AJ,Dataset!$F:$F,Resumen!Y$8,Dataset!$J:$J,"&gt;="&amp;$AC46/365,Dataset!$J:$J,"&lt;"&amp;$AD46/365,Dataset!$AH:$AH,"deposito")+SUMIFS(Dataset!$AJ:$AJ,Dataset!$F:$F,Resumen!Y$8,Dataset!$J:$J,"&gt;="&amp;$AC46/365,Dataset!$J:$J,"&lt;"&amp;$AD46/365,Dataset!$AH:$AH,"*factura*")</f>
        <v>0</v>
      </c>
      <c r="Z46" s="25">
        <f>SUMIFS(Dataset!$AA:$AA,Dataset!$F:$F,Resumen!Y$8,Dataset!$J:$J,"&gt;="&amp;$AC46/365,Dataset!$J:$J,"&lt;"&amp;$AD46/365,Dataset!$AH:$AH,"deposito")+SUMIFS(Dataset!$AA:$AA,Dataset!$F:$F,Resumen!Y$8,Dataset!$J:$J,"&gt;="&amp;$AC46/365,Dataset!$J:$J,"&lt;"&amp;$AD46/365,Dataset!$AH:$AH,"*factura*")</f>
        <v>0</v>
      </c>
      <c r="AA46" s="24">
        <f>SUMIFS(Dataset!$AJ:$AJ,Dataset!$F:$F,Resumen!AA$8,Dataset!$J:$J,"&gt;="&amp;$AC46/365,Dataset!$J:$J,"&lt;"&amp;$AD46/365,Dataset!$AH:$AH,"deposito")+SUMIFS(Dataset!$AJ:$AJ,Dataset!$F:$F,Resumen!AA$8,Dataset!$J:$J,"&gt;="&amp;$AC46/365,Dataset!$J:$J,"&lt;"&amp;$AD46/365,Dataset!$AH:$AH,"*factura*")</f>
        <v>0</v>
      </c>
      <c r="AB46" s="25">
        <f>SUMIFS(Dataset!$AA:$AA,Dataset!$F:$F,Resumen!AA$8,Dataset!$J:$J,"&gt;="&amp;$AC46/365,Dataset!$J:$J,"&lt;"&amp;$AD46/365,Dataset!$AH:$AH,"deposito")+SUMIFS(Dataset!$AA:$AA,Dataset!$F:$F,Resumen!AA$8,Dataset!$J:$J,"&gt;="&amp;$AC46/365,Dataset!$J:$J,"&lt;"&amp;$AD46/365,Dataset!$AH:$AH,"*factura*")</f>
        <v>0</v>
      </c>
      <c r="AC46" s="22">
        <v>0</v>
      </c>
      <c r="AD46" s="22">
        <v>90</v>
      </c>
    </row>
    <row r="47" spans="2:30" ht="30" customHeight="1" x14ac:dyDescent="0.3">
      <c r="B47" s="159"/>
      <c r="C47" s="160" t="s">
        <v>130</v>
      </c>
      <c r="D47" s="160"/>
      <c r="E47" s="27">
        <f>SUMIFS(Dataset!$AJ:$AJ,Dataset!$F:$F,Resumen!E$8,Dataset!$J:$J,"&gt;="&amp;$AC47/365,Dataset!$J:$J,"&lt;"&amp;$AD47/365,Dataset!$AH:$AH,"deposito")+SUMIFS(Dataset!$AJ:$AJ,Dataset!$F:$F,Resumen!E$8,Dataset!$J:$J,"&gt;="&amp;$AC47/365,Dataset!$J:$J,"&lt;"&amp;$AD47/365,Dataset!$AH:$AH,"*factura*")</f>
        <v>1.0326725903309292E-3</v>
      </c>
      <c r="F47" s="28">
        <f>SUMIFS(Dataset!$AA:$AA,Dataset!$F:$F,Resumen!E$8,Dataset!$J:$J,"&gt;="&amp;$AC47/365,Dataset!$J:$J,"&lt;"&amp;$AD47/365,Dataset!$AH:$AH,"deposito")+SUMIFS(Dataset!$AA:$AA,Dataset!$F:$F,Resumen!E$8,Dataset!$J:$J,"&gt;="&amp;$AC47/365,Dataset!$J:$J,"&lt;"&amp;$AD47/365,Dataset!$AH:$AH,"*factura*")</f>
        <v>-7.7301365600040365E-7</v>
      </c>
      <c r="G47" s="27">
        <f>SUMIFS(Dataset!$AJ:$AJ,Dataset!$F:$F,Resumen!G$8,Dataset!$J:$J,"&gt;="&amp;$AC47/365,Dataset!$J:$J,"&lt;"&amp;$AD47/365,Dataset!$AH:$AH,"deposito")+SUMIFS(Dataset!$AJ:$AJ,Dataset!$F:$F,Resumen!G$8,Dataset!$J:$J,"&gt;="&amp;$AC47/365,Dataset!$J:$J,"&lt;"&amp;$AD47/365,Dataset!$AH:$AH,"*factura*")</f>
        <v>0</v>
      </c>
      <c r="H47" s="28">
        <f>SUMIFS(Dataset!$AA:$AA,Dataset!$F:$F,Resumen!G$8,Dataset!$J:$J,"&gt;="&amp;$AC47/365,Dataset!$J:$J,"&lt;"&amp;$AD47/365,Dataset!$AH:$AH,"deposito")+SUMIFS(Dataset!$AA:$AA,Dataset!$F:$F,Resumen!G$8,Dataset!$J:$J,"&gt;="&amp;$AC47/365,Dataset!$J:$J,"&lt;"&amp;$AD47/365,Dataset!$AH:$AH,"*factura*")</f>
        <v>0</v>
      </c>
      <c r="I47" s="27">
        <f>SUMIFS(Dataset!$AJ:$AJ,Dataset!$F:$F,Resumen!I$8,Dataset!$J:$J,"&gt;="&amp;$AC47/365,Dataset!$J:$J,"&lt;"&amp;$AD47/365,Dataset!$AH:$AH,"deposito")+SUMIFS(Dataset!$AJ:$AJ,Dataset!$F:$F,Resumen!I$8,Dataset!$J:$J,"&gt;="&amp;$AC47/365,Dataset!$J:$J,"&lt;"&amp;$AD47/365,Dataset!$AH:$AH,"*factura*")</f>
        <v>0</v>
      </c>
      <c r="J47" s="28">
        <f>SUMIFS(Dataset!$AA:$AA,Dataset!$F:$F,Resumen!I$8,Dataset!$J:$J,"&gt;="&amp;$AC47/365,Dataset!$J:$J,"&lt;"&amp;$AD47/365,Dataset!$AH:$AH,"deposito")+SUMIFS(Dataset!$AA:$AA,Dataset!$F:$F,Resumen!I$8,Dataset!$J:$J,"&gt;="&amp;$AC47/365,Dataset!$J:$J,"&lt;"&amp;$AD47/365,Dataset!$AH:$AH,"*factura*")</f>
        <v>0</v>
      </c>
      <c r="K47" s="27">
        <f>SUMIFS(Dataset!$AJ:$AJ,Dataset!$F:$F,Resumen!K$8,Dataset!$J:$J,"&gt;="&amp;$AC47/365,Dataset!$J:$J,"&lt;"&amp;$AD47/365,Dataset!$AH:$AH,"deposito")+SUMIFS(Dataset!$AJ:$AJ,Dataset!$F:$F,Resumen!K$8,Dataset!$J:$J,"&gt;="&amp;$AC47/365,Dataset!$J:$J,"&lt;"&amp;$AD47/365,Dataset!$AH:$AH,"*factura*")</f>
        <v>0</v>
      </c>
      <c r="L47" s="28">
        <f>SUMIFS(Dataset!$AA:$AA,Dataset!$F:$F,Resumen!K$8,Dataset!$J:$J,"&gt;="&amp;$AC47/365,Dataset!$J:$J,"&lt;"&amp;$AD47/365,Dataset!$AH:$AH,"deposito")+SUMIFS(Dataset!$AA:$AA,Dataset!$F:$F,Resumen!K$8,Dataset!$J:$J,"&gt;="&amp;$AC47/365,Dataset!$J:$J,"&lt;"&amp;$AD47/365,Dataset!$AH:$AH,"*factura*")</f>
        <v>0</v>
      </c>
      <c r="M47" s="27">
        <f>SUMIFS(Dataset!$AJ:$AJ,Dataset!$F:$F,Resumen!M$8,Dataset!$J:$J,"&gt;="&amp;$AC47/365,Dataset!$J:$J,"&lt;"&amp;$AD47/365,Dataset!$AH:$AH,"deposito")+SUMIFS(Dataset!$AJ:$AJ,Dataset!$F:$F,Resumen!M$8,Dataset!$J:$J,"&gt;="&amp;$AC47/365,Dataset!$J:$J,"&lt;"&amp;$AD47/365,Dataset!$AH:$AH,"*factura*")</f>
        <v>5.6260777914047926E-3</v>
      </c>
      <c r="N47" s="28">
        <f>SUMIFS(Dataset!$AA:$AA,Dataset!$F:$F,Resumen!M$8,Dataset!$J:$J,"&gt;="&amp;$AC47/365,Dataset!$J:$J,"&lt;"&amp;$AD47/365,Dataset!$AH:$AH,"deposito")+SUMIFS(Dataset!$AA:$AA,Dataset!$F:$F,Resumen!M$8,Dataset!$J:$J,"&gt;="&amp;$AC47/365,Dataset!$J:$J,"&lt;"&amp;$AD47/365,Dataset!$AH:$AH,"*factura*")</f>
        <v>-6.9534308758127379E-4</v>
      </c>
      <c r="O47" s="27">
        <f>SUMIFS(Dataset!$AJ:$AJ,Dataset!$F:$F,Resumen!O$8,Dataset!$J:$J,"&gt;="&amp;$AC47/365,Dataset!$J:$J,"&lt;"&amp;$AD47/365,Dataset!$AH:$AH,"deposito")+SUMIFS(Dataset!$AJ:$AJ,Dataset!$F:$F,Resumen!O$8,Dataset!$J:$J,"&gt;="&amp;$AC47/365,Dataset!$J:$J,"&lt;"&amp;$AD47/365,Dataset!$AH:$AH,"*factura*")</f>
        <v>0</v>
      </c>
      <c r="P47" s="28">
        <f>SUMIFS(Dataset!$AA:$AA,Dataset!$F:$F,Resumen!O$8,Dataset!$J:$J,"&gt;="&amp;$AC47/365,Dataset!$J:$J,"&lt;"&amp;$AD47/365,Dataset!$AH:$AH,"deposito")+SUMIFS(Dataset!$AA:$AA,Dataset!$F:$F,Resumen!O$8,Dataset!$J:$J,"&gt;="&amp;$AC47/365,Dataset!$J:$J,"&lt;"&amp;$AD47/365,Dataset!$AH:$AH,"*factura*")</f>
        <v>0</v>
      </c>
      <c r="Q47" s="27">
        <f>SUMIFS(Dataset!$AJ:$AJ,Dataset!$F:$F,Resumen!Q$8,Dataset!$J:$J,"&gt;="&amp;$AC47/365,Dataset!$J:$J,"&lt;"&amp;$AD47/365,Dataset!$AH:$AH,"deposito")+SUMIFS(Dataset!$AJ:$AJ,Dataset!$F:$F,Resumen!Q$8,Dataset!$J:$J,"&gt;="&amp;$AC47/365,Dataset!$J:$J,"&lt;"&amp;$AD47/365,Dataset!$AH:$AH,"*factura*")</f>
        <v>0</v>
      </c>
      <c r="R47" s="28">
        <f>SUMIFS(Dataset!$AA:$AA,Dataset!$F:$F,Resumen!Q$8,Dataset!$J:$J,"&gt;="&amp;$AC47/365,Dataset!$J:$J,"&lt;"&amp;$AD47/365,Dataset!$AH:$AH,"deposito")+SUMIFS(Dataset!$AA:$AA,Dataset!$F:$F,Resumen!Q$8,Dataset!$J:$J,"&gt;="&amp;$AC47/365,Dataset!$J:$J,"&lt;"&amp;$AD47/365,Dataset!$AH:$AH,"*factura*")</f>
        <v>0</v>
      </c>
      <c r="S47" s="27">
        <f>SUMIFS(Dataset!$AJ:$AJ,Dataset!$F:$F,Resumen!S$8,Dataset!$J:$J,"&gt;="&amp;$AC47/365,Dataset!$J:$J,"&lt;"&amp;$AD47/365,Dataset!$AH:$AH,"deposito")+SUMIFS(Dataset!$AJ:$AJ,Dataset!$F:$F,Resumen!S$8,Dataset!$J:$J,"&gt;="&amp;$AC47/365,Dataset!$J:$J,"&lt;"&amp;$AD47/365,Dataset!$AH:$AH,"*factura*")</f>
        <v>0</v>
      </c>
      <c r="T47" s="28">
        <f>SUMIFS(Dataset!$AA:$AA,Dataset!$F:$F,Resumen!S$8,Dataset!$J:$J,"&gt;="&amp;$AC47/365,Dataset!$J:$J,"&lt;"&amp;$AD47/365,Dataset!$AH:$AH,"deposito")+SUMIFS(Dataset!$AA:$AA,Dataset!$F:$F,Resumen!S$8,Dataset!$J:$J,"&gt;="&amp;$AC47/365,Dataset!$J:$J,"&lt;"&amp;$AD47/365,Dataset!$AH:$AH,"*factura*")</f>
        <v>0</v>
      </c>
      <c r="U47" s="27">
        <f>SUMIFS(Dataset!$AJ:$AJ,Dataset!$F:$F,Resumen!U$8,Dataset!$J:$J,"&gt;="&amp;$AC47/365,Dataset!$J:$J,"&lt;"&amp;$AD47/365,Dataset!$AH:$AH,"deposito")+SUMIFS(Dataset!$AJ:$AJ,Dataset!$F:$F,Resumen!U$8,Dataset!$J:$J,"&gt;="&amp;$AC47/365,Dataset!$J:$J,"&lt;"&amp;$AD47/365,Dataset!$AH:$AH,"*factura*")</f>
        <v>0</v>
      </c>
      <c r="V47" s="28">
        <f>SUMIFS(Dataset!$AA:$AA,Dataset!$F:$F,Resumen!U$8,Dataset!$J:$J,"&gt;="&amp;$AC47/365,Dataset!$J:$J,"&lt;"&amp;$AD47/365,Dataset!$AH:$AH,"deposito")+SUMIFS(Dataset!$AA:$AA,Dataset!$F:$F,Resumen!U$8,Dataset!$J:$J,"&gt;="&amp;$AC47/365,Dataset!$J:$J,"&lt;"&amp;$AD47/365,Dataset!$AH:$AH,"*factura*")</f>
        <v>0</v>
      </c>
      <c r="W47" s="27">
        <f>SUMIFS(Dataset!$AJ:$AJ,Dataset!$F:$F,Resumen!W$8,Dataset!$J:$J,"&gt;="&amp;$AC47/365,Dataset!$J:$J,"&lt;"&amp;$AD47/365,Dataset!$AH:$AH,"deposito")+SUMIFS(Dataset!$AJ:$AJ,Dataset!$F:$F,Resumen!W$8,Dataset!$J:$J,"&gt;="&amp;$AC47/365,Dataset!$J:$J,"&lt;"&amp;$AD47/365,Dataset!$AH:$AH,"*factura*")</f>
        <v>0</v>
      </c>
      <c r="X47" s="28">
        <f>SUMIFS(Dataset!$AA:$AA,Dataset!$F:$F,Resumen!W$8,Dataset!$J:$J,"&gt;="&amp;$AC47/365,Dataset!$J:$J,"&lt;"&amp;$AD47/365,Dataset!$AH:$AH,"deposito")+SUMIFS(Dataset!$AA:$AA,Dataset!$F:$F,Resumen!W$8,Dataset!$J:$J,"&gt;="&amp;$AC47/365,Dataset!$J:$J,"&lt;"&amp;$AD47/365,Dataset!$AH:$AH,"*factura*")</f>
        <v>0</v>
      </c>
      <c r="Y47" s="27">
        <f>SUMIFS(Dataset!$AJ:$AJ,Dataset!$F:$F,Resumen!Y$8,Dataset!$J:$J,"&gt;="&amp;$AC47/365,Dataset!$J:$J,"&lt;"&amp;$AD47/365,Dataset!$AH:$AH,"deposito")+SUMIFS(Dataset!$AJ:$AJ,Dataset!$F:$F,Resumen!Y$8,Dataset!$J:$J,"&gt;="&amp;$AC47/365,Dataset!$J:$J,"&lt;"&amp;$AD47/365,Dataset!$AH:$AH,"*factura*")</f>
        <v>0</v>
      </c>
      <c r="Z47" s="28">
        <f>SUMIFS(Dataset!$AA:$AA,Dataset!$F:$F,Resumen!Y$8,Dataset!$J:$J,"&gt;="&amp;$AC47/365,Dataset!$J:$J,"&lt;"&amp;$AD47/365,Dataset!$AH:$AH,"deposito")+SUMIFS(Dataset!$AA:$AA,Dataset!$F:$F,Resumen!Y$8,Dataset!$J:$J,"&gt;="&amp;$AC47/365,Dataset!$J:$J,"&lt;"&amp;$AD47/365,Dataset!$AH:$AH,"*factura*")</f>
        <v>0</v>
      </c>
      <c r="AA47" s="27">
        <f>SUMIFS(Dataset!$AJ:$AJ,Dataset!$F:$F,Resumen!AA$8,Dataset!$J:$J,"&gt;="&amp;$AC47/365,Dataset!$J:$J,"&lt;"&amp;$AD47/365,Dataset!$AH:$AH,"deposito")+SUMIFS(Dataset!$AJ:$AJ,Dataset!$F:$F,Resumen!AA$8,Dataset!$J:$J,"&gt;="&amp;$AC47/365,Dataset!$J:$J,"&lt;"&amp;$AD47/365,Dataset!$AH:$AH,"*factura*")</f>
        <v>0</v>
      </c>
      <c r="AB47" s="28">
        <f>SUMIFS(Dataset!$AA:$AA,Dataset!$F:$F,Resumen!AA$8,Dataset!$J:$J,"&gt;="&amp;$AC47/365,Dataset!$J:$J,"&lt;"&amp;$AD47/365,Dataset!$AH:$AH,"deposito")+SUMIFS(Dataset!$AA:$AA,Dataset!$F:$F,Resumen!AA$8,Dataset!$J:$J,"&gt;="&amp;$AC47/365,Dataset!$J:$J,"&lt;"&amp;$AD47/365,Dataset!$AH:$AH,"*factura*")</f>
        <v>0</v>
      </c>
      <c r="AC47" s="22">
        <v>90</v>
      </c>
      <c r="AD47" s="22">
        <v>180</v>
      </c>
    </row>
    <row r="48" spans="2:30" ht="30" customHeight="1" x14ac:dyDescent="0.3">
      <c r="B48" s="159"/>
      <c r="C48" s="160" t="s">
        <v>131</v>
      </c>
      <c r="D48" s="160"/>
      <c r="E48" s="29">
        <f>SUMIFS(Dataset!$AJ:$AJ,Dataset!$F:$F,Resumen!E$8,Dataset!$J:$J,"&gt;="&amp;$AC48/365,Dataset!$J:$J,"&lt;"&amp;$AD48/365,Dataset!$AH:$AH,"deposito")+SUMIFS(Dataset!$AJ:$AJ,Dataset!$F:$F,Resumen!E$8,Dataset!$J:$J,"&gt;="&amp;$AC48/365,Dataset!$J:$J,"&lt;"&amp;$AD48/365,Dataset!$AH:$AH,"*factura*")</f>
        <v>4.5481705487696832E-3</v>
      </c>
      <c r="F48" s="30">
        <f>SUMIFS(Dataset!$AA:$AA,Dataset!$F:$F,Resumen!E$8,Dataset!$J:$J,"&gt;="&amp;$AC48/365,Dataset!$J:$J,"&lt;"&amp;$AD48/365,Dataset!$AH:$AH,"deposito")+SUMIFS(Dataset!$AA:$AA,Dataset!$F:$F,Resumen!E$8,Dataset!$J:$J,"&gt;="&amp;$AC48/365,Dataset!$J:$J,"&lt;"&amp;$AD48/365,Dataset!$AH:$AH,"*factura*")</f>
        <v>-4.3683537559744941E-4</v>
      </c>
      <c r="G48" s="29">
        <f>SUMIFS(Dataset!$AJ:$AJ,Dataset!$F:$F,Resumen!G$8,Dataset!$J:$J,"&gt;="&amp;$AC48/365,Dataset!$J:$J,"&lt;"&amp;$AD48/365,Dataset!$AH:$AH,"deposito")+SUMIFS(Dataset!$AJ:$AJ,Dataset!$F:$F,Resumen!G$8,Dataset!$J:$J,"&gt;="&amp;$AC48/365,Dataset!$J:$J,"&lt;"&amp;$AD48/365,Dataset!$AH:$AH,"*factura*")</f>
        <v>0</v>
      </c>
      <c r="H48" s="30">
        <f>SUMIFS(Dataset!$AA:$AA,Dataset!$F:$F,Resumen!G$8,Dataset!$J:$J,"&gt;="&amp;$AC48/365,Dataset!$J:$J,"&lt;"&amp;$AD48/365,Dataset!$AH:$AH,"deposito")+SUMIFS(Dataset!$AA:$AA,Dataset!$F:$F,Resumen!G$8,Dataset!$J:$J,"&gt;="&amp;$AC48/365,Dataset!$J:$J,"&lt;"&amp;$AD48/365,Dataset!$AH:$AH,"*factura*")</f>
        <v>0</v>
      </c>
      <c r="I48" s="29">
        <f>SUMIFS(Dataset!$AJ:$AJ,Dataset!$F:$F,Resumen!I$8,Dataset!$J:$J,"&gt;="&amp;$AC48/365,Dataset!$J:$J,"&lt;"&amp;$AD48/365,Dataset!$AH:$AH,"deposito")+SUMIFS(Dataset!$AJ:$AJ,Dataset!$F:$F,Resumen!I$8,Dataset!$J:$J,"&gt;="&amp;$AC48/365,Dataset!$J:$J,"&lt;"&amp;$AD48/365,Dataset!$AH:$AH,"*factura*")</f>
        <v>0</v>
      </c>
      <c r="J48" s="30">
        <f>SUMIFS(Dataset!$AA:$AA,Dataset!$F:$F,Resumen!I$8,Dataset!$J:$J,"&gt;="&amp;$AC48/365,Dataset!$J:$J,"&lt;"&amp;$AD48/365,Dataset!$AH:$AH,"deposito")+SUMIFS(Dataset!$AA:$AA,Dataset!$F:$F,Resumen!I$8,Dataset!$J:$J,"&gt;="&amp;$AC48/365,Dataset!$J:$J,"&lt;"&amp;$AD48/365,Dataset!$AH:$AH,"*factura*")</f>
        <v>0</v>
      </c>
      <c r="K48" s="29">
        <f>SUMIFS(Dataset!$AJ:$AJ,Dataset!$F:$F,Resumen!K$8,Dataset!$J:$J,"&gt;="&amp;$AC48/365,Dataset!$J:$J,"&lt;"&amp;$AD48/365,Dataset!$AH:$AH,"deposito")+SUMIFS(Dataset!$AJ:$AJ,Dataset!$F:$F,Resumen!K$8,Dataset!$J:$J,"&gt;="&amp;$AC48/365,Dataset!$J:$J,"&lt;"&amp;$AD48/365,Dataset!$AH:$AH,"*factura*")</f>
        <v>0</v>
      </c>
      <c r="L48" s="30">
        <f>SUMIFS(Dataset!$AA:$AA,Dataset!$F:$F,Resumen!K$8,Dataset!$J:$J,"&gt;="&amp;$AC48/365,Dataset!$J:$J,"&lt;"&amp;$AD48/365,Dataset!$AH:$AH,"deposito")+SUMIFS(Dataset!$AA:$AA,Dataset!$F:$F,Resumen!K$8,Dataset!$J:$J,"&gt;="&amp;$AC48/365,Dataset!$J:$J,"&lt;"&amp;$AD48/365,Dataset!$AH:$AH,"*factura*")</f>
        <v>0</v>
      </c>
      <c r="M48" s="29">
        <f>SUMIFS(Dataset!$AJ:$AJ,Dataset!$F:$F,Resumen!M$8,Dataset!$J:$J,"&gt;="&amp;$AC48/365,Dataset!$J:$J,"&lt;"&amp;$AD48/365,Dataset!$AH:$AH,"deposito")+SUMIFS(Dataset!$AJ:$AJ,Dataset!$F:$F,Resumen!M$8,Dataset!$J:$J,"&gt;="&amp;$AC48/365,Dataset!$J:$J,"&lt;"&amp;$AD48/365,Dataset!$AH:$AH,"*factura*")</f>
        <v>3.3214333506464116E-3</v>
      </c>
      <c r="N48" s="30">
        <f>SUMIFS(Dataset!$AA:$AA,Dataset!$F:$F,Resumen!M$8,Dataset!$J:$J,"&gt;="&amp;$AC48/365,Dataset!$J:$J,"&lt;"&amp;$AD48/365,Dataset!$AH:$AH,"deposito")+SUMIFS(Dataset!$AA:$AA,Dataset!$F:$F,Resumen!M$8,Dataset!$J:$J,"&gt;="&amp;$AC48/365,Dataset!$J:$J,"&lt;"&amp;$AD48/365,Dataset!$AH:$AH,"*factura*")</f>
        <v>-6.9139715078297428E-4</v>
      </c>
      <c r="O48" s="29">
        <f>SUMIFS(Dataset!$AJ:$AJ,Dataset!$F:$F,Resumen!O$8,Dataset!$J:$J,"&gt;="&amp;$AC48/365,Dataset!$J:$J,"&lt;"&amp;$AD48/365,Dataset!$AH:$AH,"deposito")+SUMIFS(Dataset!$AJ:$AJ,Dataset!$F:$F,Resumen!O$8,Dataset!$J:$J,"&gt;="&amp;$AC48/365,Dataset!$J:$J,"&lt;"&amp;$AD48/365,Dataset!$AH:$AH,"*factura*")</f>
        <v>0</v>
      </c>
      <c r="P48" s="30">
        <f>SUMIFS(Dataset!$AA:$AA,Dataset!$F:$F,Resumen!O$8,Dataset!$J:$J,"&gt;="&amp;$AC48/365,Dataset!$J:$J,"&lt;"&amp;$AD48/365,Dataset!$AH:$AH,"deposito")+SUMIFS(Dataset!$AA:$AA,Dataset!$F:$F,Resumen!O$8,Dataset!$J:$J,"&gt;="&amp;$AC48/365,Dataset!$J:$J,"&lt;"&amp;$AD48/365,Dataset!$AH:$AH,"*factura*")</f>
        <v>0</v>
      </c>
      <c r="Q48" s="29">
        <f>SUMIFS(Dataset!$AJ:$AJ,Dataset!$F:$F,Resumen!Q$8,Dataset!$J:$J,"&gt;="&amp;$AC48/365,Dataset!$J:$J,"&lt;"&amp;$AD48/365,Dataset!$AH:$AH,"deposito")+SUMIFS(Dataset!$AJ:$AJ,Dataset!$F:$F,Resumen!Q$8,Dataset!$J:$J,"&gt;="&amp;$AC48/365,Dataset!$J:$J,"&lt;"&amp;$AD48/365,Dataset!$AH:$AH,"*factura*")</f>
        <v>0</v>
      </c>
      <c r="R48" s="30">
        <f>SUMIFS(Dataset!$AA:$AA,Dataset!$F:$F,Resumen!Q$8,Dataset!$J:$J,"&gt;="&amp;$AC48/365,Dataset!$J:$J,"&lt;"&amp;$AD48/365,Dataset!$AH:$AH,"deposito")+SUMIFS(Dataset!$AA:$AA,Dataset!$F:$F,Resumen!Q$8,Dataset!$J:$J,"&gt;="&amp;$AC48/365,Dataset!$J:$J,"&lt;"&amp;$AD48/365,Dataset!$AH:$AH,"*factura*")</f>
        <v>0</v>
      </c>
      <c r="S48" s="29">
        <f>SUMIFS(Dataset!$AJ:$AJ,Dataset!$F:$F,Resumen!S$8,Dataset!$J:$J,"&gt;="&amp;$AC48/365,Dataset!$J:$J,"&lt;"&amp;$AD48/365,Dataset!$AH:$AH,"deposito")+SUMIFS(Dataset!$AJ:$AJ,Dataset!$F:$F,Resumen!S$8,Dataset!$J:$J,"&gt;="&amp;$AC48/365,Dataset!$J:$J,"&lt;"&amp;$AD48/365,Dataset!$AH:$AH,"*factura*")</f>
        <v>0</v>
      </c>
      <c r="T48" s="30">
        <f>SUMIFS(Dataset!$AA:$AA,Dataset!$F:$F,Resumen!S$8,Dataset!$J:$J,"&gt;="&amp;$AC48/365,Dataset!$J:$J,"&lt;"&amp;$AD48/365,Dataset!$AH:$AH,"deposito")+SUMIFS(Dataset!$AA:$AA,Dataset!$F:$F,Resumen!S$8,Dataset!$J:$J,"&gt;="&amp;$AC48/365,Dataset!$J:$J,"&lt;"&amp;$AD48/365,Dataset!$AH:$AH,"*factura*")</f>
        <v>0</v>
      </c>
      <c r="U48" s="29">
        <f>SUMIFS(Dataset!$AJ:$AJ,Dataset!$F:$F,Resumen!U$8,Dataset!$J:$J,"&gt;="&amp;$AC48/365,Dataset!$J:$J,"&lt;"&amp;$AD48/365,Dataset!$AH:$AH,"deposito")+SUMIFS(Dataset!$AJ:$AJ,Dataset!$F:$F,Resumen!U$8,Dataset!$J:$J,"&gt;="&amp;$AC48/365,Dataset!$J:$J,"&lt;"&amp;$AD48/365,Dataset!$AH:$AH,"*factura*")</f>
        <v>0</v>
      </c>
      <c r="V48" s="30">
        <f>SUMIFS(Dataset!$AA:$AA,Dataset!$F:$F,Resumen!U$8,Dataset!$J:$J,"&gt;="&amp;$AC48/365,Dataset!$J:$J,"&lt;"&amp;$AD48/365,Dataset!$AH:$AH,"deposito")+SUMIFS(Dataset!$AA:$AA,Dataset!$F:$F,Resumen!U$8,Dataset!$J:$J,"&gt;="&amp;$AC48/365,Dataset!$J:$J,"&lt;"&amp;$AD48/365,Dataset!$AH:$AH,"*factura*")</f>
        <v>0</v>
      </c>
      <c r="W48" s="29">
        <f>SUMIFS(Dataset!$AJ:$AJ,Dataset!$F:$F,Resumen!W$8,Dataset!$J:$J,"&gt;="&amp;$AC48/365,Dataset!$J:$J,"&lt;"&amp;$AD48/365,Dataset!$AH:$AH,"deposito")+SUMIFS(Dataset!$AJ:$AJ,Dataset!$F:$F,Resumen!W$8,Dataset!$J:$J,"&gt;="&amp;$AC48/365,Dataset!$J:$J,"&lt;"&amp;$AD48/365,Dataset!$AH:$AH,"*factura*")</f>
        <v>0</v>
      </c>
      <c r="X48" s="30">
        <f>SUMIFS(Dataset!$AA:$AA,Dataset!$F:$F,Resumen!W$8,Dataset!$J:$J,"&gt;="&amp;$AC48/365,Dataset!$J:$J,"&lt;"&amp;$AD48/365,Dataset!$AH:$AH,"deposito")+SUMIFS(Dataset!$AA:$AA,Dataset!$F:$F,Resumen!W$8,Dataset!$J:$J,"&gt;="&amp;$AC48/365,Dataset!$J:$J,"&lt;"&amp;$AD48/365,Dataset!$AH:$AH,"*factura*")</f>
        <v>0</v>
      </c>
      <c r="Y48" s="29">
        <f>SUMIFS(Dataset!$AJ:$AJ,Dataset!$F:$F,Resumen!Y$8,Dataset!$J:$J,"&gt;="&amp;$AC48/365,Dataset!$J:$J,"&lt;"&amp;$AD48/365,Dataset!$AH:$AH,"deposito")+SUMIFS(Dataset!$AJ:$AJ,Dataset!$F:$F,Resumen!Y$8,Dataset!$J:$J,"&gt;="&amp;$AC48/365,Dataset!$J:$J,"&lt;"&amp;$AD48/365,Dataset!$AH:$AH,"*factura*")</f>
        <v>0</v>
      </c>
      <c r="Z48" s="30">
        <f>SUMIFS(Dataset!$AA:$AA,Dataset!$F:$F,Resumen!Y$8,Dataset!$J:$J,"&gt;="&amp;$AC48/365,Dataset!$J:$J,"&lt;"&amp;$AD48/365,Dataset!$AH:$AH,"deposito")+SUMIFS(Dataset!$AA:$AA,Dataset!$F:$F,Resumen!Y$8,Dataset!$J:$J,"&gt;="&amp;$AC48/365,Dataset!$J:$J,"&lt;"&amp;$AD48/365,Dataset!$AH:$AH,"*factura*")</f>
        <v>0</v>
      </c>
      <c r="AA48" s="29">
        <f>SUMIFS(Dataset!$AJ:$AJ,Dataset!$F:$F,Resumen!AA$8,Dataset!$J:$J,"&gt;="&amp;$AC48/365,Dataset!$J:$J,"&lt;"&amp;$AD48/365,Dataset!$AH:$AH,"deposito")+SUMIFS(Dataset!$AJ:$AJ,Dataset!$F:$F,Resumen!AA$8,Dataset!$J:$J,"&gt;="&amp;$AC48/365,Dataset!$J:$J,"&lt;"&amp;$AD48/365,Dataset!$AH:$AH,"*factura*")</f>
        <v>0</v>
      </c>
      <c r="AB48" s="30">
        <f>SUMIFS(Dataset!$AA:$AA,Dataset!$F:$F,Resumen!AA$8,Dataset!$J:$J,"&gt;="&amp;$AC48/365,Dataset!$J:$J,"&lt;"&amp;$AD48/365,Dataset!$AH:$AH,"deposito")+SUMIFS(Dataset!$AA:$AA,Dataset!$F:$F,Resumen!AA$8,Dataset!$J:$J,"&gt;="&amp;$AC48/365,Dataset!$J:$J,"&lt;"&amp;$AD48/365,Dataset!$AH:$AH,"*factura*")</f>
        <v>0</v>
      </c>
      <c r="AC48" s="22">
        <v>180</v>
      </c>
      <c r="AD48" s="22">
        <v>10000</v>
      </c>
    </row>
    <row r="49" spans="2:30" ht="30" customHeight="1" x14ac:dyDescent="0.3">
      <c r="B49" s="157" t="s">
        <v>37</v>
      </c>
      <c r="C49" s="157"/>
      <c r="D49" s="157"/>
      <c r="E49" s="36">
        <f>SUMIFS(Dataset!$AJ:$AJ,Dataset!$F:$F,Resumen!E$8,Dataset!$AH:$AH,"&lt;&gt;deposito",Dataset!$AH:$AH,"&lt;&gt;bono de gobierno",Dataset!$AH:$AH,"&lt;&gt;bono corporativo",Dataset!$AH:$AH,"&lt;&gt;factura")</f>
        <v>7.9219233226123951E-4</v>
      </c>
      <c r="F49" s="37">
        <f>SUMIFS(Dataset!$AA:$AA,Dataset!$F:$F,Resumen!E$8,Dataset!$AH:$AH,"&lt;&gt;deposito",Dataset!$AH:$AH,"&lt;&gt;bono de gobierno",Dataset!$AH:$AH,"&lt;&gt;bono corporativo",Dataset!$AH:$AH,"&lt;&gt;factura")</f>
        <v>-0.15501488017395665</v>
      </c>
      <c r="G49" s="36">
        <f>SUMIFS(Dataset!$AJ:$AJ,Dataset!$F:$F,Resumen!G$8,Dataset!$AH:$AH,"&lt;&gt;deposito",Dataset!$AH:$AH,"&lt;&gt;bono de gobierno",Dataset!$AH:$AH,"&lt;&gt;bono corporativo",Dataset!$AH:$AH,"&lt;&gt;factura")</f>
        <v>0</v>
      </c>
      <c r="H49" s="37">
        <f>SUMIFS(Dataset!$AA:$AA,Dataset!$F:$F,Resumen!G$8,Dataset!$AH:$AH,"&lt;&gt;deposito",Dataset!$AH:$AH,"&lt;&gt;bono de gobierno",Dataset!$AH:$AH,"&lt;&gt;bono corporativo",Dataset!$AH:$AH,"&lt;&gt;factura")</f>
        <v>0</v>
      </c>
      <c r="I49" s="36">
        <f>SUMIFS(Dataset!$AJ:$AJ,Dataset!$F:$F,Resumen!I$8,Dataset!$AH:$AH,"&lt;&gt;deposito",Dataset!$AH:$AH,"&lt;&gt;bono de gobierno",Dataset!$AH:$AH,"&lt;&gt;bono corporativo",Dataset!$AH:$AH,"&lt;&gt;factura")</f>
        <v>0</v>
      </c>
      <c r="J49" s="37">
        <f>SUMIFS(Dataset!$AA:$AA,Dataset!$F:$F,Resumen!I$8,Dataset!$AH:$AH,"&lt;&gt;deposito",Dataset!$AH:$AH,"&lt;&gt;bono de gobierno",Dataset!$AH:$AH,"&lt;&gt;bono corporativo",Dataset!$AH:$AH,"&lt;&gt;factura")</f>
        <v>0</v>
      </c>
      <c r="K49" s="36">
        <f>SUMIFS(Dataset!$AJ:$AJ,Dataset!$F:$F,Resumen!K$8,Dataset!$AH:$AH,"&lt;&gt;deposito",Dataset!$AH:$AH,"&lt;&gt;bono de gobierno",Dataset!$AH:$AH,"&lt;&gt;bono corporativo",Dataset!$AH:$AH,"&lt;&gt;factura")</f>
        <v>0</v>
      </c>
      <c r="L49" s="37">
        <f>SUMIFS(Dataset!$AA:$AA,Dataset!$F:$F,Resumen!K$8,Dataset!$AH:$AH,"&lt;&gt;deposito",Dataset!$AH:$AH,"&lt;&gt;bono de gobierno",Dataset!$AH:$AH,"&lt;&gt;bono corporativo",Dataset!$AH:$AH,"&lt;&gt;factura")</f>
        <v>0</v>
      </c>
      <c r="M49" s="36">
        <f>SUMIFS(Dataset!$AJ:$AJ,Dataset!$F:$F,Resumen!M$8,Dataset!$AH:$AH,"&lt;&gt;deposito",Dataset!$AH:$AH,"&lt;&gt;bono de gobierno",Dataset!$AH:$AH,"&lt;&gt;bono corporativo",Dataset!$AH:$AH,"&lt;&gt;factura")</f>
        <v>1.2720421667147347E-2</v>
      </c>
      <c r="N49" s="37">
        <f>SUMIFS(Dataset!$AA:$AA,Dataset!$F:$F,Resumen!M$8,Dataset!$AH:$AH,"&lt;&gt;deposito",Dataset!$AH:$AH,"&lt;&gt;bono de gobierno",Dataset!$AH:$AH,"&lt;&gt;bono corporativo",Dataset!$AH:$AH,"&lt;&gt;factura")</f>
        <v>-0.18486121062733535</v>
      </c>
      <c r="O49" s="36">
        <f>SUMIFS(Dataset!$AJ:$AJ,Dataset!$F:$F,Resumen!O$8,Dataset!$AH:$AH,"&lt;&gt;deposito",Dataset!$AH:$AH,"&lt;&gt;bono de gobierno",Dataset!$AH:$AH,"&lt;&gt;bono corporativo",Dataset!$AH:$AH,"&lt;&gt;factura")</f>
        <v>0</v>
      </c>
      <c r="P49" s="37">
        <f>SUMIFS(Dataset!$AA:$AA,Dataset!$F:$F,Resumen!O$8,Dataset!$AH:$AH,"&lt;&gt;deposito",Dataset!$AH:$AH,"&lt;&gt;bono de gobierno",Dataset!$AH:$AH,"&lt;&gt;bono corporativo",Dataset!$AH:$AH,"&lt;&gt;factura")</f>
        <v>0</v>
      </c>
      <c r="Q49" s="36">
        <f>SUMIFS(Dataset!$AJ:$AJ,Dataset!$F:$F,Resumen!Q$8,Dataset!$AH:$AH,"&lt;&gt;deposito",Dataset!$AH:$AH,"&lt;&gt;bono de gobierno",Dataset!$AH:$AH,"&lt;&gt;bono corporativo",Dataset!$AH:$AH,"&lt;&gt;factura")</f>
        <v>0</v>
      </c>
      <c r="R49" s="37">
        <f>SUMIFS(Dataset!$AA:$AA,Dataset!$F:$F,Resumen!Q$8,Dataset!$AH:$AH,"&lt;&gt;deposito",Dataset!$AH:$AH,"&lt;&gt;bono de gobierno",Dataset!$AH:$AH,"&lt;&gt;bono corporativo",Dataset!$AH:$AH,"&lt;&gt;factura")</f>
        <v>0</v>
      </c>
      <c r="S49" s="36">
        <f>SUMIFS(Dataset!$AJ:$AJ,Dataset!$F:$F,Resumen!S$8,Dataset!$AH:$AH,"&lt;&gt;deposito",Dataset!$AH:$AH,"&lt;&gt;bono de gobierno",Dataset!$AH:$AH,"&lt;&gt;bono corporativo",Dataset!$AH:$AH,"&lt;&gt;factura")</f>
        <v>0</v>
      </c>
      <c r="T49" s="37">
        <f>SUMIFS(Dataset!$AA:$AA,Dataset!$F:$F,Resumen!S$8,Dataset!$AH:$AH,"&lt;&gt;deposito",Dataset!$AH:$AH,"&lt;&gt;bono de gobierno",Dataset!$AH:$AH,"&lt;&gt;bono corporativo",Dataset!$AH:$AH,"&lt;&gt;factura")</f>
        <v>0</v>
      </c>
      <c r="U49" s="36">
        <f>SUMIFS(Dataset!$AJ:$AJ,Dataset!$F:$F,Resumen!U$8,Dataset!$AH:$AH,"&lt;&gt;deposito",Dataset!$AH:$AH,"&lt;&gt;bono de gobierno",Dataset!$AH:$AH,"&lt;&gt;bono corporativo",Dataset!$AH:$AH,"&lt;&gt;factura")</f>
        <v>0</v>
      </c>
      <c r="V49" s="37">
        <f>SUMIFS(Dataset!$AA:$AA,Dataset!$F:$F,Resumen!U$8,Dataset!$AH:$AH,"&lt;&gt;deposito",Dataset!$AH:$AH,"&lt;&gt;bono de gobierno",Dataset!$AH:$AH,"&lt;&gt;bono corporativo",Dataset!$AH:$AH,"&lt;&gt;factura")</f>
        <v>0</v>
      </c>
      <c r="W49" s="36">
        <f>SUMIFS(Dataset!$AJ:$AJ,Dataset!$F:$F,Resumen!W$8,Dataset!$AH:$AH,"&lt;&gt;deposito",Dataset!$AH:$AH,"&lt;&gt;bono de gobierno",Dataset!$AH:$AH,"&lt;&gt;bono corporativo",Dataset!$AH:$AH,"&lt;&gt;factura")</f>
        <v>0</v>
      </c>
      <c r="X49" s="37">
        <f>SUMIFS(Dataset!$AA:$AA,Dataset!$F:$F,Resumen!W$8,Dataset!$AH:$AH,"&lt;&gt;deposito",Dataset!$AH:$AH,"&lt;&gt;bono de gobierno",Dataset!$AH:$AH,"&lt;&gt;bono corporativo",Dataset!$AH:$AH,"&lt;&gt;factura")</f>
        <v>0</v>
      </c>
      <c r="Y49" s="36">
        <f>SUMIFS(Dataset!$AJ:$AJ,Dataset!$F:$F,Resumen!Y$8,Dataset!$AH:$AH,"&lt;&gt;deposito",Dataset!$AH:$AH,"&lt;&gt;bono de gobierno",Dataset!$AH:$AH,"&lt;&gt;bono corporativo",Dataset!$AH:$AH,"&lt;&gt;factura")</f>
        <v>0</v>
      </c>
      <c r="Z49" s="37">
        <f>SUMIFS(Dataset!$AA:$AA,Dataset!$F:$F,Resumen!Y$8,Dataset!$AH:$AH,"&lt;&gt;deposito",Dataset!$AH:$AH,"&lt;&gt;bono de gobierno",Dataset!$AH:$AH,"&lt;&gt;bono corporativo",Dataset!$AH:$AH,"&lt;&gt;factura")</f>
        <v>0</v>
      </c>
      <c r="AA49" s="36">
        <f>SUMIFS(Dataset!$AJ:$AJ,Dataset!$F:$F,Resumen!AA$8,Dataset!$AH:$AH,"&lt;&gt;deposito",Dataset!$AH:$AH,"&lt;&gt;bono de gobierno",Dataset!$AH:$AH,"&lt;&gt;bono corporativo",Dataset!$AH:$AH,"&lt;&gt;factura")</f>
        <v>0</v>
      </c>
      <c r="AB49" s="37">
        <f>SUMIFS(Dataset!$AA:$AA,Dataset!$F:$F,Resumen!AA$8,Dataset!$AH:$AH,"&lt;&gt;deposito",Dataset!$AH:$AH,"&lt;&gt;bono de gobierno",Dataset!$AH:$AH,"&lt;&gt;bono corporativo",Dataset!$AH:$AH,"&lt;&gt;factura")</f>
        <v>0</v>
      </c>
    </row>
    <row r="50" spans="2:30" ht="30" customHeight="1" x14ac:dyDescent="0.3">
      <c r="B50" s="163" t="s">
        <v>62</v>
      </c>
      <c r="C50" s="163"/>
      <c r="D50" s="163"/>
      <c r="E50" s="38">
        <f>SUM(E10:E49)</f>
        <v>-1.1566268776075361E-15</v>
      </c>
      <c r="F50" s="39">
        <f t="shared" ref="F50:AB50" si="0">SUM(F10:F49)</f>
        <v>1.0000000000000002</v>
      </c>
      <c r="G50" s="38">
        <f t="shared" si="0"/>
        <v>0</v>
      </c>
      <c r="H50" s="39">
        <f t="shared" si="0"/>
        <v>0</v>
      </c>
      <c r="I50" s="38">
        <f>SUM(I10:I49)</f>
        <v>0</v>
      </c>
      <c r="J50" s="39">
        <f>SUM(J10:J49)</f>
        <v>0</v>
      </c>
      <c r="K50" s="38">
        <f t="shared" si="0"/>
        <v>0</v>
      </c>
      <c r="L50" s="39">
        <f t="shared" si="0"/>
        <v>0</v>
      </c>
      <c r="M50" s="38">
        <f t="shared" si="0"/>
        <v>-2.3940069653126173E-2</v>
      </c>
      <c r="N50" s="39">
        <f t="shared" si="0"/>
        <v>1.0000000000000002</v>
      </c>
      <c r="O50" s="38">
        <f t="shared" si="0"/>
        <v>0</v>
      </c>
      <c r="P50" s="39">
        <f t="shared" si="0"/>
        <v>0</v>
      </c>
      <c r="Q50" s="38">
        <f t="shared" si="0"/>
        <v>0</v>
      </c>
      <c r="R50" s="39">
        <f t="shared" si="0"/>
        <v>0</v>
      </c>
      <c r="S50" s="38">
        <f t="shared" si="0"/>
        <v>0</v>
      </c>
      <c r="T50" s="39">
        <f t="shared" si="0"/>
        <v>0</v>
      </c>
      <c r="U50" s="38">
        <f t="shared" si="0"/>
        <v>0</v>
      </c>
      <c r="V50" s="39">
        <f t="shared" si="0"/>
        <v>0</v>
      </c>
      <c r="W50" s="38">
        <f t="shared" si="0"/>
        <v>0</v>
      </c>
      <c r="X50" s="39">
        <f t="shared" si="0"/>
        <v>0</v>
      </c>
      <c r="Y50" s="38">
        <f t="shared" si="0"/>
        <v>0</v>
      </c>
      <c r="Z50" s="39">
        <f t="shared" si="0"/>
        <v>0</v>
      </c>
      <c r="AA50" s="38">
        <f t="shared" si="0"/>
        <v>0</v>
      </c>
      <c r="AB50" s="39">
        <f t="shared" si="0"/>
        <v>0</v>
      </c>
    </row>
    <row r="51" spans="2:30" ht="30" customHeight="1" x14ac:dyDescent="0.3">
      <c r="B51" s="157" t="s">
        <v>39</v>
      </c>
      <c r="C51" s="157"/>
      <c r="D51" s="157"/>
      <c r="E51" s="36">
        <f>SUMIFS(Dataset!$AJ:$AJ,Dataset!$F:$F,Resumen!E$8,Dataset!$T:$T,$B51)</f>
        <v>5.6934731988143035E-2</v>
      </c>
      <c r="F51" s="37">
        <f>SUMIFS(Dataset!$AA:$AA,Dataset!$F:$F,Resumen!E$8,Dataset!$T:$T,$B51)</f>
        <v>-2.3663321496710001E-3</v>
      </c>
      <c r="G51" s="36">
        <f>SUMIFS(Dataset!$AJ:$AJ,Dataset!$F:$F,Resumen!G$8,Dataset!$T:$T,$B51)</f>
        <v>0</v>
      </c>
      <c r="H51" s="37">
        <f>SUMIFS(Dataset!$AA:$AA,Dataset!$F:$F,Resumen!G$8,Dataset!$T:$T,$B51)</f>
        <v>0</v>
      </c>
      <c r="I51" s="36">
        <f>SUMIFS(Dataset!$AJ:$AJ,Dataset!$F:$F,Resumen!I$8,Dataset!$T:$T,$B51)</f>
        <v>0</v>
      </c>
      <c r="J51" s="37">
        <f>SUMIFS(Dataset!$AA:$AA,Dataset!$F:$F,Resumen!I$8,Dataset!$T:$T,$B51)</f>
        <v>0</v>
      </c>
      <c r="K51" s="36">
        <f>SUMIFS(Dataset!$AJ:$AJ,Dataset!$F:$F,Resumen!K$8,Dataset!$T:$T,$B51)</f>
        <v>0</v>
      </c>
      <c r="L51" s="37">
        <f>SUMIFS(Dataset!$AA:$AA,Dataset!$F:$F,Resumen!K$8,Dataset!$T:$T,$B51)</f>
        <v>0</v>
      </c>
      <c r="M51" s="36">
        <f>SUMIFS(Dataset!$AJ:$AJ,Dataset!$F:$F,Resumen!M$8,Dataset!$T:$T,$B51)</f>
        <v>0.11489041724335698</v>
      </c>
      <c r="N51" s="37">
        <f>SUMIFS(Dataset!$AA:$AA,Dataset!$F:$F,Resumen!M$8,Dataset!$T:$T,$B51)</f>
        <v>4.4681692334901262E-2</v>
      </c>
      <c r="O51" s="36">
        <f>SUMIFS(Dataset!$AJ:$AJ,Dataset!$F:$F,Resumen!O$8,Dataset!$T:$T,$B51)</f>
        <v>0</v>
      </c>
      <c r="P51" s="37">
        <f>SUMIFS(Dataset!$AA:$AA,Dataset!$F:$F,Resumen!O$8,Dataset!$T:$T,$B51)</f>
        <v>0</v>
      </c>
      <c r="Q51" s="36">
        <f>SUMIFS(Dataset!$AJ:$AJ,Dataset!$F:$F,Resumen!Q$8,Dataset!$T:$T,$B51)</f>
        <v>0</v>
      </c>
      <c r="R51" s="37">
        <f>SUMIFS(Dataset!$AA:$AA,Dataset!$F:$F,Resumen!Q$8,Dataset!$T:$T,$B51)</f>
        <v>0</v>
      </c>
      <c r="S51" s="36">
        <f>SUMIFS(Dataset!$AJ:$AJ,Dataset!$F:$F,Resumen!S$8,Dataset!$T:$T,$B51)</f>
        <v>0</v>
      </c>
      <c r="T51" s="37">
        <f>SUMIFS(Dataset!$AA:$AA,Dataset!$F:$F,Resumen!S$8,Dataset!$T:$T,$B51)</f>
        <v>0</v>
      </c>
      <c r="U51" s="36">
        <f>SUMIFS(Dataset!$AJ:$AJ,Dataset!$F:$F,Resumen!U$8,Dataset!$T:$T,$B51)</f>
        <v>0</v>
      </c>
      <c r="V51" s="37">
        <f>SUMIFS(Dataset!$AA:$AA,Dataset!$F:$F,Resumen!U$8,Dataset!$T:$T,$B51)</f>
        <v>0</v>
      </c>
      <c r="W51" s="36">
        <f>SUMIFS(Dataset!$AJ:$AJ,Dataset!$F:$F,Resumen!W$8,Dataset!$T:$T,$B51)</f>
        <v>0</v>
      </c>
      <c r="X51" s="37">
        <f>SUMIFS(Dataset!$AA:$AA,Dataset!$F:$F,Resumen!W$8,Dataset!$T:$T,$B51)</f>
        <v>0</v>
      </c>
      <c r="Y51" s="36">
        <f>SUMIFS(Dataset!$AJ:$AJ,Dataset!$F:$F,Resumen!Y$8,Dataset!$T:$T,$B51)</f>
        <v>0</v>
      </c>
      <c r="Z51" s="37">
        <f>SUMIFS(Dataset!$AA:$AA,Dataset!$F:$F,Resumen!Y$8,Dataset!$T:$T,$B51)</f>
        <v>0</v>
      </c>
      <c r="AA51" s="36">
        <f>SUMIFS(Dataset!$AJ:$AJ,Dataset!$F:$F,Resumen!AA$8,Dataset!$T:$T,$B51)</f>
        <v>0</v>
      </c>
      <c r="AB51" s="37">
        <f>SUMIFS(Dataset!$AA:$AA,Dataset!$F:$F,Resumen!AA$8,Dataset!$T:$T,$B51)</f>
        <v>0</v>
      </c>
    </row>
    <row r="52" spans="2:30" ht="30" customHeight="1" x14ac:dyDescent="0.3">
      <c r="B52" s="157" t="s">
        <v>32</v>
      </c>
      <c r="C52" s="157"/>
      <c r="D52" s="157"/>
      <c r="E52" s="36">
        <f>SUMIFS(Dataset!$AJ:$AJ,Dataset!$F:$F,Resumen!E$8,Dataset!$T:$T,$B52)</f>
        <v>-6.4805559419103639E-2</v>
      </c>
      <c r="F52" s="37">
        <f>SUMIFS(Dataset!$AA:$AA,Dataset!$F:$F,Resumen!E$8,Dataset!$T:$T,$B52)</f>
        <v>0.79124563197354658</v>
      </c>
      <c r="G52" s="36">
        <f>SUMIFS(Dataset!$AJ:$AJ,Dataset!$F:$F,Resumen!G$8,Dataset!$T:$T,$B52)</f>
        <v>0</v>
      </c>
      <c r="H52" s="37">
        <f>SUMIFS(Dataset!$AA:$AA,Dataset!$F:$F,Resumen!G$8,Dataset!$T:$T,$B52)</f>
        <v>0</v>
      </c>
      <c r="I52" s="36">
        <f>SUMIFS(Dataset!$AJ:$AJ,Dataset!$F:$F,Resumen!I$8,Dataset!$T:$T,$B52)</f>
        <v>0</v>
      </c>
      <c r="J52" s="37">
        <f>SUMIFS(Dataset!$AA:$AA,Dataset!$F:$F,Resumen!I$8,Dataset!$T:$T,$B52)</f>
        <v>0</v>
      </c>
      <c r="K52" s="36">
        <f>SUMIFS(Dataset!$AJ:$AJ,Dataset!$F:$F,Resumen!K$8,Dataset!$T:$T,$B52)</f>
        <v>0</v>
      </c>
      <c r="L52" s="37">
        <f>SUMIFS(Dataset!$AA:$AA,Dataset!$F:$F,Resumen!K$8,Dataset!$T:$T,$B52)</f>
        <v>0</v>
      </c>
      <c r="M52" s="36">
        <f>SUMIFS(Dataset!$AJ:$AJ,Dataset!$F:$F,Resumen!M$8,Dataset!$T:$T,$B52)</f>
        <v>-0.14873903277939685</v>
      </c>
      <c r="N52" s="37">
        <f>SUMIFS(Dataset!$AA:$AA,Dataset!$F:$F,Resumen!M$8,Dataset!$T:$T,$B52)</f>
        <v>0.84574473076971834</v>
      </c>
      <c r="O52" s="36">
        <f>SUMIFS(Dataset!$AJ:$AJ,Dataset!$F:$F,Resumen!O$8,Dataset!$T:$T,$B52)</f>
        <v>0</v>
      </c>
      <c r="P52" s="37">
        <f>SUMIFS(Dataset!$AA:$AA,Dataset!$F:$F,Resumen!O$8,Dataset!$T:$T,$B52)</f>
        <v>0</v>
      </c>
      <c r="Q52" s="36">
        <f>SUMIFS(Dataset!$AJ:$AJ,Dataset!$F:$F,Resumen!Q$8,Dataset!$T:$T,$B52)</f>
        <v>0</v>
      </c>
      <c r="R52" s="37">
        <f>SUMIFS(Dataset!$AA:$AA,Dataset!$F:$F,Resumen!Q$8,Dataset!$T:$T,$B52)</f>
        <v>0</v>
      </c>
      <c r="S52" s="36">
        <f>SUMIFS(Dataset!$AJ:$AJ,Dataset!$F:$F,Resumen!S$8,Dataset!$T:$T,$B52)</f>
        <v>0</v>
      </c>
      <c r="T52" s="37">
        <f>SUMIFS(Dataset!$AA:$AA,Dataset!$F:$F,Resumen!S$8,Dataset!$T:$T,$B52)</f>
        <v>0</v>
      </c>
      <c r="U52" s="36">
        <f>SUMIFS(Dataset!$AJ:$AJ,Dataset!$F:$F,Resumen!U$8,Dataset!$T:$T,$B52)</f>
        <v>0</v>
      </c>
      <c r="V52" s="37">
        <f>SUMIFS(Dataset!$AA:$AA,Dataset!$F:$F,Resumen!U$8,Dataset!$T:$T,$B52)</f>
        <v>0</v>
      </c>
      <c r="W52" s="36">
        <f>SUMIFS(Dataset!$AJ:$AJ,Dataset!$F:$F,Resumen!W$8,Dataset!$T:$T,$B52)</f>
        <v>0</v>
      </c>
      <c r="X52" s="37">
        <f>SUMIFS(Dataset!$AA:$AA,Dataset!$F:$F,Resumen!W$8,Dataset!$T:$T,$B52)</f>
        <v>0</v>
      </c>
      <c r="Y52" s="36">
        <f>SUMIFS(Dataset!$AJ:$AJ,Dataset!$F:$F,Resumen!Y$8,Dataset!$T:$T,$B52)</f>
        <v>0</v>
      </c>
      <c r="Z52" s="37">
        <f>SUMIFS(Dataset!$AA:$AA,Dataset!$F:$F,Resumen!Y$8,Dataset!$T:$T,$B52)</f>
        <v>0</v>
      </c>
      <c r="AA52" s="36">
        <f>SUMIFS(Dataset!$AJ:$AJ,Dataset!$F:$F,Resumen!AA$8,Dataset!$T:$T,$B52)</f>
        <v>0</v>
      </c>
      <c r="AB52" s="37">
        <f>SUMIFS(Dataset!$AA:$AA,Dataset!$F:$F,Resumen!AA$8,Dataset!$T:$T,$B52)</f>
        <v>0</v>
      </c>
    </row>
    <row r="53" spans="2:30" ht="30" customHeight="1" x14ac:dyDescent="0.3">
      <c r="B53" s="157" t="s">
        <v>30</v>
      </c>
      <c r="C53" s="157"/>
      <c r="D53" s="157"/>
      <c r="E53" s="36">
        <f>SUMIFS(Dataset!$AJ:$AJ,Dataset!$F:$F,Resumen!E$8,Dataset!$T:$T,$B53)</f>
        <v>7.8708274309595653E-3</v>
      </c>
      <c r="F53" s="37">
        <f>SUMIFS(Dataset!$AA:$AA,Dataset!$F:$F,Resumen!E$8,Dataset!$T:$T,$B53)</f>
        <v>0.21112070017612453</v>
      </c>
      <c r="G53" s="36">
        <f>SUMIFS(Dataset!$AJ:$AJ,Dataset!$F:$F,Resumen!G$8,Dataset!$T:$T,$B53)</f>
        <v>0</v>
      </c>
      <c r="H53" s="37">
        <f>SUMIFS(Dataset!$AA:$AA,Dataset!$F:$F,Resumen!G$8,Dataset!$T:$T,$B53)</f>
        <v>0</v>
      </c>
      <c r="I53" s="36">
        <f>SUMIFS(Dataset!$AJ:$AJ,Dataset!$F:$F,Resumen!I$8,Dataset!$T:$T,$B53)</f>
        <v>0</v>
      </c>
      <c r="J53" s="37">
        <f>SUMIFS(Dataset!$AA:$AA,Dataset!$F:$F,Resumen!I$8,Dataset!$T:$T,$B53)</f>
        <v>0</v>
      </c>
      <c r="K53" s="36">
        <f>SUMIFS(Dataset!$AJ:$AJ,Dataset!$F:$F,Resumen!K$8,Dataset!$T:$T,$B53)</f>
        <v>0</v>
      </c>
      <c r="L53" s="37">
        <f>SUMIFS(Dataset!$AA:$AA,Dataset!$F:$F,Resumen!K$8,Dataset!$T:$T,$B53)</f>
        <v>0</v>
      </c>
      <c r="M53" s="36">
        <f>SUMIFS(Dataset!$AJ:$AJ,Dataset!$F:$F,Resumen!M$8,Dataset!$T:$T,$B53)</f>
        <v>9.9085458829135335E-3</v>
      </c>
      <c r="N53" s="37">
        <f>SUMIFS(Dataset!$AA:$AA,Dataset!$F:$F,Resumen!M$8,Dataset!$T:$T,$B53)</f>
        <v>0.10957357689538066</v>
      </c>
      <c r="O53" s="36">
        <f>SUMIFS(Dataset!$AJ:$AJ,Dataset!$F:$F,Resumen!O$8,Dataset!$T:$T,$B53)</f>
        <v>0</v>
      </c>
      <c r="P53" s="37">
        <f>SUMIFS(Dataset!$AA:$AA,Dataset!$F:$F,Resumen!O$8,Dataset!$T:$T,$B53)</f>
        <v>0</v>
      </c>
      <c r="Q53" s="36">
        <f>SUMIFS(Dataset!$AJ:$AJ,Dataset!$F:$F,Resumen!Q$8,Dataset!$T:$T,$B53)</f>
        <v>0</v>
      </c>
      <c r="R53" s="37">
        <f>SUMIFS(Dataset!$AA:$AA,Dataset!$F:$F,Resumen!Q$8,Dataset!$T:$T,$B53)</f>
        <v>0</v>
      </c>
      <c r="S53" s="36">
        <f>SUMIFS(Dataset!$AJ:$AJ,Dataset!$F:$F,Resumen!S$8,Dataset!$T:$T,$B53)</f>
        <v>0</v>
      </c>
      <c r="T53" s="37">
        <f>SUMIFS(Dataset!$AA:$AA,Dataset!$F:$F,Resumen!S$8,Dataset!$T:$T,$B53)</f>
        <v>0</v>
      </c>
      <c r="U53" s="36">
        <f>SUMIFS(Dataset!$AJ:$AJ,Dataset!$F:$F,Resumen!U$8,Dataset!$T:$T,$B53)</f>
        <v>0</v>
      </c>
      <c r="V53" s="37">
        <f>SUMIFS(Dataset!$AA:$AA,Dataset!$F:$F,Resumen!U$8,Dataset!$T:$T,$B53)</f>
        <v>0</v>
      </c>
      <c r="W53" s="36">
        <f>SUMIFS(Dataset!$AJ:$AJ,Dataset!$F:$F,Resumen!W$8,Dataset!$T:$T,$B53)</f>
        <v>0</v>
      </c>
      <c r="X53" s="37">
        <f>SUMIFS(Dataset!$AA:$AA,Dataset!$F:$F,Resumen!W$8,Dataset!$T:$T,$B53)</f>
        <v>0</v>
      </c>
      <c r="Y53" s="36">
        <f>SUMIFS(Dataset!$AJ:$AJ,Dataset!$F:$F,Resumen!Y$8,Dataset!$T:$T,$B53)</f>
        <v>0</v>
      </c>
      <c r="Z53" s="37">
        <f>SUMIFS(Dataset!$AA:$AA,Dataset!$F:$F,Resumen!Y$8,Dataset!$T:$T,$B53)</f>
        <v>0</v>
      </c>
      <c r="AA53" s="36">
        <f>SUMIFS(Dataset!$AJ:$AJ,Dataset!$F:$F,Resumen!AA$8,Dataset!$T:$T,$B53)</f>
        <v>0</v>
      </c>
      <c r="AB53" s="37">
        <f>SUMIFS(Dataset!$AA:$AA,Dataset!$F:$F,Resumen!AA$8,Dataset!$T:$T,$B53)</f>
        <v>0</v>
      </c>
    </row>
    <row r="54" spans="2:30" ht="30" customHeight="1" x14ac:dyDescent="0.3">
      <c r="B54" s="157" t="s">
        <v>47</v>
      </c>
      <c r="C54" s="157"/>
      <c r="D54" s="157"/>
      <c r="E54" s="36">
        <f>SUMIFS(Dataset!$AJ:$AJ,Dataset!$F:$F,Resumen!E$8,Dataset!$T:$T,$B54)</f>
        <v>0</v>
      </c>
      <c r="F54" s="37">
        <f>SUMIFS(Dataset!$AA:$AA,Dataset!$F:$F,Resumen!E$8,Dataset!$T:$T,$B54)</f>
        <v>0</v>
      </c>
      <c r="G54" s="36">
        <f>SUMIFS(Dataset!$AJ:$AJ,Dataset!$F:$F,Resumen!G$8,Dataset!$T:$T,$B54)</f>
        <v>0</v>
      </c>
      <c r="H54" s="37">
        <f>SUMIFS(Dataset!$AA:$AA,Dataset!$F:$F,Resumen!G$8,Dataset!$T:$T,$B54)</f>
        <v>0</v>
      </c>
      <c r="I54" s="36">
        <f>SUMIFS(Dataset!$AJ:$AJ,Dataset!$F:$F,Resumen!I$8,Dataset!$T:$T,$B54)</f>
        <v>0</v>
      </c>
      <c r="J54" s="37">
        <f>SUMIFS(Dataset!$AA:$AA,Dataset!$F:$F,Resumen!I$8,Dataset!$T:$T,$B54)</f>
        <v>0</v>
      </c>
      <c r="K54" s="36">
        <f>SUMIFS(Dataset!$AJ:$AJ,Dataset!$F:$F,Resumen!K$8,Dataset!$T:$T,$B54)</f>
        <v>0</v>
      </c>
      <c r="L54" s="37">
        <f>SUMIFS(Dataset!$AA:$AA,Dataset!$F:$F,Resumen!K$8,Dataset!$T:$T,$B54)</f>
        <v>0</v>
      </c>
      <c r="M54" s="36">
        <f>SUMIFS(Dataset!$AJ:$AJ,Dataset!$F:$F,Resumen!M$8,Dataset!$T:$T,$B54)</f>
        <v>0</v>
      </c>
      <c r="N54" s="37">
        <f>SUMIFS(Dataset!$AA:$AA,Dataset!$F:$F,Resumen!M$8,Dataset!$T:$T,$B54)</f>
        <v>0</v>
      </c>
      <c r="O54" s="36">
        <f>SUMIFS(Dataset!$AJ:$AJ,Dataset!$F:$F,Resumen!O$8,Dataset!$T:$T,$B54)</f>
        <v>0</v>
      </c>
      <c r="P54" s="37">
        <f>SUMIFS(Dataset!$AA:$AA,Dataset!$F:$F,Resumen!O$8,Dataset!$T:$T,$B54)</f>
        <v>0</v>
      </c>
      <c r="Q54" s="36">
        <f>SUMIFS(Dataset!$AJ:$AJ,Dataset!$F:$F,Resumen!Q$8,Dataset!$T:$T,$B54)</f>
        <v>0</v>
      </c>
      <c r="R54" s="37">
        <f>SUMIFS(Dataset!$AA:$AA,Dataset!$F:$F,Resumen!Q$8,Dataset!$T:$T,$B54)</f>
        <v>0</v>
      </c>
      <c r="S54" s="36">
        <f>SUMIFS(Dataset!$AJ:$AJ,Dataset!$F:$F,Resumen!S$8,Dataset!$T:$T,$B54)</f>
        <v>0</v>
      </c>
      <c r="T54" s="37">
        <f>SUMIFS(Dataset!$AA:$AA,Dataset!$F:$F,Resumen!S$8,Dataset!$T:$T,$B54)</f>
        <v>0</v>
      </c>
      <c r="U54" s="36">
        <f>SUMIFS(Dataset!$AJ:$AJ,Dataset!$F:$F,Resumen!U$8,Dataset!$T:$T,$B54)</f>
        <v>0</v>
      </c>
      <c r="V54" s="37">
        <f>SUMIFS(Dataset!$AA:$AA,Dataset!$F:$F,Resumen!U$8,Dataset!$T:$T,$B54)</f>
        <v>0</v>
      </c>
      <c r="W54" s="36">
        <f>SUMIFS(Dataset!$AJ:$AJ,Dataset!$F:$F,Resumen!W$8,Dataset!$T:$T,$B54)</f>
        <v>0</v>
      </c>
      <c r="X54" s="37">
        <f>SUMIFS(Dataset!$AA:$AA,Dataset!$F:$F,Resumen!W$8,Dataset!$T:$T,$B54)</f>
        <v>0</v>
      </c>
      <c r="Y54" s="36">
        <f>SUMIFS(Dataset!$AJ:$AJ,Dataset!$F:$F,Resumen!Y$8,Dataset!$T:$T,$B54)</f>
        <v>0</v>
      </c>
      <c r="Z54" s="37">
        <f>SUMIFS(Dataset!$AA:$AA,Dataset!$F:$F,Resumen!Y$8,Dataset!$T:$T,$B54)</f>
        <v>0</v>
      </c>
      <c r="AA54" s="36">
        <f>SUMIFS(Dataset!$AJ:$AJ,Dataset!$F:$F,Resumen!AA$8,Dataset!$T:$T,$B54)</f>
        <v>0</v>
      </c>
      <c r="AB54" s="37">
        <f>SUMIFS(Dataset!$AA:$AA,Dataset!$F:$F,Resumen!AA$8,Dataset!$T:$T,$B54)</f>
        <v>0</v>
      </c>
    </row>
    <row r="55" spans="2:30" ht="30" customHeight="1" x14ac:dyDescent="0.3">
      <c r="B55" s="154" t="s">
        <v>141</v>
      </c>
      <c r="C55" s="155"/>
      <c r="D55" s="156"/>
      <c r="E55" s="36">
        <f>SUMIFS(Dataset!$AJ:$AJ,Dataset!$F:$F,Resumen!E$8,Dataset!$T:$T,$B55)</f>
        <v>0</v>
      </c>
      <c r="F55" s="40">
        <f>SUMIFS(Dataset!$AA:$AA,Dataset!$F:$F,Resumen!E$8,Dataset!$T:$T,$B55)</f>
        <v>0</v>
      </c>
      <c r="G55" s="36">
        <f>SUMIFS(Dataset!$AJ:$AJ,Dataset!$F:$F,Resumen!G$8,Dataset!$T:$T,$B55)</f>
        <v>0</v>
      </c>
      <c r="H55" s="40">
        <f>SUMIFS(Dataset!$AA:$AA,Dataset!$F:$F,Resumen!G$8,Dataset!$T:$T,$B55)</f>
        <v>0</v>
      </c>
      <c r="I55" s="36">
        <f>SUMIFS(Dataset!$AJ:$AJ,Dataset!$F:$F,Resumen!I$8,Dataset!$T:$T,$B55)</f>
        <v>0</v>
      </c>
      <c r="J55" s="40">
        <f>SUMIFS(Dataset!$AA:$AA,Dataset!$F:$F,Resumen!I$8,Dataset!$T:$T,$B55)</f>
        <v>0</v>
      </c>
      <c r="K55" s="36">
        <f>SUMIFS(Dataset!$AJ:$AJ,Dataset!$F:$F,Resumen!K$8,Dataset!$T:$T,$B55)</f>
        <v>0</v>
      </c>
      <c r="L55" s="40">
        <f>SUMIFS(Dataset!$AA:$AA,Dataset!$F:$F,Resumen!K$8,Dataset!$T:$T,$B55)</f>
        <v>0</v>
      </c>
      <c r="M55" s="36">
        <f>SUMIFS(Dataset!$AJ:$AJ,Dataset!$F:$F,Resumen!M$8,Dataset!$T:$T,$B55)</f>
        <v>0</v>
      </c>
      <c r="N55" s="40">
        <f>SUMIFS(Dataset!$AA:$AA,Dataset!$F:$F,Resumen!M$8,Dataset!$T:$T,$B55)</f>
        <v>0</v>
      </c>
      <c r="O55" s="36">
        <f>SUMIFS(Dataset!$AJ:$AJ,Dataset!$F:$F,Resumen!O$8,Dataset!$T:$T,$B55)</f>
        <v>0</v>
      </c>
      <c r="P55" s="40">
        <f>SUMIFS(Dataset!$AA:$AA,Dataset!$F:$F,Resumen!O$8,Dataset!$T:$T,$B55)</f>
        <v>0</v>
      </c>
      <c r="Q55" s="36">
        <f>SUMIFS(Dataset!$AJ:$AJ,Dataset!$F:$F,Resumen!Q$8,Dataset!$T:$T,$B55)</f>
        <v>0</v>
      </c>
      <c r="R55" s="40">
        <f>SUMIFS(Dataset!$AA:$AA,Dataset!$F:$F,Resumen!Q$8,Dataset!$T:$T,$B55)</f>
        <v>0</v>
      </c>
      <c r="S55" s="36">
        <f>SUMIFS(Dataset!$AJ:$AJ,Dataset!$F:$F,Resumen!S$8,Dataset!$T:$T,$B55)</f>
        <v>0</v>
      </c>
      <c r="T55" s="40">
        <f>SUMIFS(Dataset!$AA:$AA,Dataset!$F:$F,Resumen!S$8,Dataset!$T:$T,$B55)</f>
        <v>0</v>
      </c>
      <c r="U55" s="36">
        <f>SUMIFS(Dataset!$AJ:$AJ,Dataset!$F:$F,Resumen!U$8,Dataset!$T:$T,$B55)</f>
        <v>0</v>
      </c>
      <c r="V55" s="40">
        <f>SUMIFS(Dataset!$AA:$AA,Dataset!$F:$F,Resumen!U$8,Dataset!$T:$T,$B55)</f>
        <v>0</v>
      </c>
      <c r="W55" s="36">
        <f>SUMIFS(Dataset!$AJ:$AJ,Dataset!$F:$F,Resumen!W$8,Dataset!$T:$T,$B55)</f>
        <v>0</v>
      </c>
      <c r="X55" s="40">
        <f>SUMIFS(Dataset!$AA:$AA,Dataset!$F:$F,Resumen!W$8,Dataset!$T:$T,$B55)</f>
        <v>0</v>
      </c>
      <c r="Y55" s="36">
        <f>SUMIFS(Dataset!$AJ:$AJ,Dataset!$F:$F,Resumen!Y$8,Dataset!$T:$T,$B55)</f>
        <v>0</v>
      </c>
      <c r="Z55" s="40">
        <f>SUMIFS(Dataset!$AA:$AA,Dataset!$F:$F,Resumen!Y$8,Dataset!$T:$T,$B55)</f>
        <v>0</v>
      </c>
      <c r="AA55" s="36">
        <f>SUMIFS(Dataset!$AJ:$AJ,Dataset!$F:$F,Resumen!AA$8,Dataset!$T:$T,$B55)</f>
        <v>0</v>
      </c>
      <c r="AB55" s="40">
        <f>SUMIFS(Dataset!$AA:$AA,Dataset!$F:$F,Resumen!AA$8,Dataset!$T:$T,$B55)</f>
        <v>0</v>
      </c>
    </row>
    <row r="56" spans="2:30" ht="30" customHeight="1" x14ac:dyDescent="0.3">
      <c r="B56" s="154" t="s">
        <v>205</v>
      </c>
      <c r="C56" s="155"/>
      <c r="D56" s="156"/>
      <c r="E56" s="41">
        <f>SUMIFS(Dataset!$AJ:$AJ,Dataset!$F:$F,Resumen!E$8,Dataset!$T:$T,$B56)</f>
        <v>0</v>
      </c>
      <c r="F56" s="40">
        <f>SUMIFS(Dataset!$AA:$AA,Dataset!$F:$F,Resumen!E$8,Dataset!$T:$T,$B56)</f>
        <v>0</v>
      </c>
      <c r="G56" s="41">
        <f>SUMIFS(Dataset!$AJ:$AJ,Dataset!$F:$F,Resumen!G$8,Dataset!$T:$T,$B56)</f>
        <v>0</v>
      </c>
      <c r="H56" s="40">
        <f>SUMIFS(Dataset!$AA:$AA,Dataset!$F:$F,Resumen!G$8,Dataset!$T:$T,$B56)</f>
        <v>0</v>
      </c>
      <c r="I56" s="41">
        <f>SUMIFS(Dataset!$AJ:$AJ,Dataset!$F:$F,Resumen!I$8,Dataset!$T:$T,$B56)</f>
        <v>0</v>
      </c>
      <c r="J56" s="40">
        <f>SUMIFS(Dataset!$AA:$AA,Dataset!$F:$F,Resumen!I$8,Dataset!$T:$T,$B56)</f>
        <v>0</v>
      </c>
      <c r="K56" s="41">
        <f>SUMIFS(Dataset!$AJ:$AJ,Dataset!$F:$F,Resumen!K$8,Dataset!$T:$T,$B56)</f>
        <v>0</v>
      </c>
      <c r="L56" s="40">
        <f>SUMIFS(Dataset!$AA:$AA,Dataset!$F:$F,Resumen!K$8,Dataset!$T:$T,$B56)</f>
        <v>0</v>
      </c>
      <c r="M56" s="41">
        <f>SUMIFS(Dataset!$AJ:$AJ,Dataset!$F:$F,Resumen!M$8,Dataset!$T:$T,$B56)</f>
        <v>0</v>
      </c>
      <c r="N56" s="40">
        <f>SUMIFS(Dataset!$AA:$AA,Dataset!$F:$F,Resumen!M$8,Dataset!$T:$T,$B56)</f>
        <v>0</v>
      </c>
      <c r="O56" s="41">
        <f>SUMIFS(Dataset!$AJ:$AJ,Dataset!$F:$F,Resumen!O$8,Dataset!$T:$T,$B56)</f>
        <v>0</v>
      </c>
      <c r="P56" s="40">
        <f>SUMIFS(Dataset!$AA:$AA,Dataset!$F:$F,Resumen!O$8,Dataset!$T:$T,$B56)</f>
        <v>0</v>
      </c>
      <c r="Q56" s="41">
        <f>SUMIFS(Dataset!$AJ:$AJ,Dataset!$F:$F,Resumen!Q$8,Dataset!$T:$T,$B56)</f>
        <v>0</v>
      </c>
      <c r="R56" s="40">
        <f>SUMIFS(Dataset!$AA:$AA,Dataset!$F:$F,Resumen!Q$8,Dataset!$T:$T,$B56)</f>
        <v>0</v>
      </c>
      <c r="S56" s="41">
        <f>SUMIFS(Dataset!$AJ:$AJ,Dataset!$F:$F,Resumen!S$8,Dataset!$T:$T,$B56)</f>
        <v>0</v>
      </c>
      <c r="T56" s="40">
        <f>SUMIFS(Dataset!$AA:$AA,Dataset!$F:$F,Resumen!S$8,Dataset!$T:$T,$B56)</f>
        <v>0</v>
      </c>
      <c r="U56" s="41">
        <f>SUMIFS(Dataset!$AJ:$AJ,Dataset!$F:$F,Resumen!U$8,Dataset!$T:$T,$B56)</f>
        <v>0</v>
      </c>
      <c r="V56" s="40">
        <f>SUMIFS(Dataset!$AA:$AA,Dataset!$F:$F,Resumen!U$8,Dataset!$T:$T,$B56)</f>
        <v>0</v>
      </c>
      <c r="W56" s="41">
        <f>SUMIFS(Dataset!$AJ:$AJ,Dataset!$F:$F,Resumen!W$8,Dataset!$T:$T,$B56)</f>
        <v>0</v>
      </c>
      <c r="X56" s="40">
        <f>SUMIFS(Dataset!$AA:$AA,Dataset!$F:$F,Resumen!W$8,Dataset!$T:$T,$B56)</f>
        <v>0</v>
      </c>
      <c r="Y56" s="41">
        <f>SUMIFS(Dataset!$AJ:$AJ,Dataset!$F:$F,Resumen!Y$8,Dataset!$T:$T,$B56)</f>
        <v>0</v>
      </c>
      <c r="Z56" s="40">
        <f>SUMIFS(Dataset!$AA:$AA,Dataset!$F:$F,Resumen!Y$8,Dataset!$T:$T,$B56)</f>
        <v>0</v>
      </c>
      <c r="AA56" s="41">
        <f>SUMIFS(Dataset!$AJ:$AJ,Dataset!$F:$F,Resumen!AA$8,Dataset!$T:$T,$B56)</f>
        <v>0</v>
      </c>
      <c r="AB56" s="40">
        <f>SUMIFS(Dataset!$AA:$AA,Dataset!$F:$F,Resumen!AA$8,Dataset!$T:$T,$B56)</f>
        <v>0</v>
      </c>
    </row>
    <row r="57" spans="2:30" ht="30" customHeight="1" x14ac:dyDescent="0.3">
      <c r="B57" s="154" t="s">
        <v>164</v>
      </c>
      <c r="C57" s="155"/>
      <c r="D57" s="156"/>
      <c r="E57" s="41">
        <f>SUMIFS(Dataset!$AJ:$AJ,Dataset!$F:$F,Resumen!E$8,Dataset!$T:$T,$B57)</f>
        <v>0</v>
      </c>
      <c r="F57" s="40">
        <f>SUMIFS(Dataset!$AA:$AA,Dataset!$F:$F,Resumen!E$8,Dataset!$T:$T,$B57)</f>
        <v>0</v>
      </c>
      <c r="G57" s="41">
        <f>SUMIFS(Dataset!$AJ:$AJ,Dataset!$F:$F,Resumen!G$8,Dataset!$T:$T,$B57)</f>
        <v>0</v>
      </c>
      <c r="H57" s="40">
        <f>SUMIFS(Dataset!$AA:$AA,Dataset!$F:$F,Resumen!G$8,Dataset!$T:$T,$B57)</f>
        <v>0</v>
      </c>
      <c r="I57" s="41">
        <f>SUMIFS(Dataset!$AJ:$AJ,Dataset!$F:$F,Resumen!I$8,Dataset!$T:$T,$B57)</f>
        <v>0</v>
      </c>
      <c r="J57" s="40">
        <f>SUMIFS(Dataset!$AA:$AA,Dataset!$F:$F,Resumen!I$8,Dataset!$T:$T,$B57)</f>
        <v>0</v>
      </c>
      <c r="K57" s="41">
        <f>SUMIFS(Dataset!$AJ:$AJ,Dataset!$F:$F,Resumen!K$8,Dataset!$T:$T,$B57)</f>
        <v>0</v>
      </c>
      <c r="L57" s="40">
        <f>SUMIFS(Dataset!$AA:$AA,Dataset!$F:$F,Resumen!K$8,Dataset!$T:$T,$B57)</f>
        <v>0</v>
      </c>
      <c r="M57" s="41">
        <f>SUMIFS(Dataset!$AJ:$AJ,Dataset!$F:$F,Resumen!M$8,Dataset!$T:$T,$B57)</f>
        <v>0</v>
      </c>
      <c r="N57" s="40">
        <f>SUMIFS(Dataset!$AA:$AA,Dataset!$F:$F,Resumen!M$8,Dataset!$T:$T,$B57)</f>
        <v>0</v>
      </c>
      <c r="O57" s="41">
        <f>SUMIFS(Dataset!$AJ:$AJ,Dataset!$F:$F,Resumen!O$8,Dataset!$T:$T,$B57)</f>
        <v>0</v>
      </c>
      <c r="P57" s="40">
        <f>SUMIFS(Dataset!$AA:$AA,Dataset!$F:$F,Resumen!O$8,Dataset!$T:$T,$B57)</f>
        <v>0</v>
      </c>
      <c r="Q57" s="41">
        <f>SUMIFS(Dataset!$AJ:$AJ,Dataset!$F:$F,Resumen!Q$8,Dataset!$T:$T,$B57)</f>
        <v>0</v>
      </c>
      <c r="R57" s="40">
        <f>SUMIFS(Dataset!$AA:$AA,Dataset!$F:$F,Resumen!Q$8,Dataset!$T:$T,$B57)</f>
        <v>0</v>
      </c>
      <c r="S57" s="41">
        <f>SUMIFS(Dataset!$AJ:$AJ,Dataset!$F:$F,Resumen!S$8,Dataset!$T:$T,$B57)</f>
        <v>0</v>
      </c>
      <c r="T57" s="40">
        <f>SUMIFS(Dataset!$AA:$AA,Dataset!$F:$F,Resumen!S$8,Dataset!$T:$T,$B57)</f>
        <v>0</v>
      </c>
      <c r="U57" s="41">
        <f>SUMIFS(Dataset!$AJ:$AJ,Dataset!$F:$F,Resumen!U$8,Dataset!$T:$T,$B57)</f>
        <v>0</v>
      </c>
      <c r="V57" s="40">
        <f>SUMIFS(Dataset!$AA:$AA,Dataset!$F:$F,Resumen!U$8,Dataset!$T:$T,$B57)</f>
        <v>0</v>
      </c>
      <c r="W57" s="41">
        <f>SUMIFS(Dataset!$AJ:$AJ,Dataset!$F:$F,Resumen!W$8,Dataset!$T:$T,$B57)</f>
        <v>0</v>
      </c>
      <c r="X57" s="40">
        <f>SUMIFS(Dataset!$AA:$AA,Dataset!$F:$F,Resumen!W$8,Dataset!$T:$T,$B57)</f>
        <v>0</v>
      </c>
      <c r="Y57" s="41">
        <f>SUMIFS(Dataset!$AJ:$AJ,Dataset!$F:$F,Resumen!Y$8,Dataset!$T:$T,$B57)</f>
        <v>0</v>
      </c>
      <c r="Z57" s="40">
        <f>SUMIFS(Dataset!$AA:$AA,Dataset!$F:$F,Resumen!Y$8,Dataset!$T:$T,$B57)</f>
        <v>0</v>
      </c>
      <c r="AA57" s="41">
        <f>SUMIFS(Dataset!$AJ:$AJ,Dataset!$F:$F,Resumen!AA$8,Dataset!$T:$T,$B57)</f>
        <v>0</v>
      </c>
      <c r="AB57" s="40">
        <f>SUMIFS(Dataset!$AA:$AA,Dataset!$F:$F,Resumen!AA$8,Dataset!$T:$T,$B57)</f>
        <v>0</v>
      </c>
    </row>
    <row r="58" spans="2:30" ht="30" customHeight="1" x14ac:dyDescent="0.3">
      <c r="B58" s="154" t="s">
        <v>208</v>
      </c>
      <c r="C58" s="155"/>
      <c r="D58" s="156"/>
      <c r="E58" s="41">
        <f>SUMIFS(Dataset!$AJ:$AJ,Dataset!$F:$F,Resumen!E$8,Dataset!$T:$T,$B58)</f>
        <v>0</v>
      </c>
      <c r="F58" s="40">
        <f>SUMIFS(Dataset!$AA:$AA,Dataset!$F:$F,Resumen!E$8,Dataset!$T:$T,$B58)</f>
        <v>0</v>
      </c>
      <c r="G58" s="41">
        <f>SUMIFS(Dataset!$AJ:$AJ,Dataset!$F:$F,Resumen!G$8,Dataset!$T:$T,$B58)</f>
        <v>0</v>
      </c>
      <c r="H58" s="40">
        <f>SUMIFS(Dataset!$AA:$AA,Dataset!$F:$F,Resumen!G$8,Dataset!$T:$T,$B58)</f>
        <v>0</v>
      </c>
      <c r="I58" s="41">
        <f>SUMIFS(Dataset!$AJ:$AJ,Dataset!$F:$F,Resumen!I$8,Dataset!$T:$T,$B58)</f>
        <v>0</v>
      </c>
      <c r="J58" s="40">
        <f>SUMIFS(Dataset!$AA:$AA,Dataset!$F:$F,Resumen!I$8,Dataset!$T:$T,$B58)</f>
        <v>0</v>
      </c>
      <c r="K58" s="41">
        <f>SUMIFS(Dataset!$AJ:$AJ,Dataset!$F:$F,Resumen!K$8,Dataset!$T:$T,$B58)</f>
        <v>0</v>
      </c>
      <c r="L58" s="40">
        <f>SUMIFS(Dataset!$AA:$AA,Dataset!$F:$F,Resumen!K$8,Dataset!$T:$T,$B58)</f>
        <v>0</v>
      </c>
      <c r="M58" s="41">
        <f>SUMIFS(Dataset!$AJ:$AJ,Dataset!$F:$F,Resumen!M$8,Dataset!$T:$T,$B58)</f>
        <v>0</v>
      </c>
      <c r="N58" s="40">
        <f>SUMIFS(Dataset!$AA:$AA,Dataset!$F:$F,Resumen!M$8,Dataset!$T:$T,$B58)</f>
        <v>0</v>
      </c>
      <c r="O58" s="41">
        <f>SUMIFS(Dataset!$AJ:$AJ,Dataset!$F:$F,Resumen!O$8,Dataset!$T:$T,$B58)</f>
        <v>0</v>
      </c>
      <c r="P58" s="40">
        <f>SUMIFS(Dataset!$AA:$AA,Dataset!$F:$F,Resumen!O$8,Dataset!$T:$T,$B58)</f>
        <v>0</v>
      </c>
      <c r="Q58" s="41">
        <f>SUMIFS(Dataset!$AJ:$AJ,Dataset!$F:$F,Resumen!Q$8,Dataset!$T:$T,$B58)</f>
        <v>0</v>
      </c>
      <c r="R58" s="40">
        <f>SUMIFS(Dataset!$AA:$AA,Dataset!$F:$F,Resumen!Q$8,Dataset!$T:$T,$B58)</f>
        <v>0</v>
      </c>
      <c r="S58" s="41">
        <f>SUMIFS(Dataset!$AJ:$AJ,Dataset!$F:$F,Resumen!S$8,Dataset!$T:$T,$B58)</f>
        <v>0</v>
      </c>
      <c r="T58" s="40">
        <f>SUMIFS(Dataset!$AA:$AA,Dataset!$F:$F,Resumen!S$8,Dataset!$T:$T,$B58)</f>
        <v>0</v>
      </c>
      <c r="U58" s="41">
        <f>SUMIFS(Dataset!$AJ:$AJ,Dataset!$F:$F,Resumen!U$8,Dataset!$T:$T,$B58)</f>
        <v>0</v>
      </c>
      <c r="V58" s="40">
        <f>SUMIFS(Dataset!$AA:$AA,Dataset!$F:$F,Resumen!U$8,Dataset!$T:$T,$B58)</f>
        <v>0</v>
      </c>
      <c r="W58" s="41">
        <f>SUMIFS(Dataset!$AJ:$AJ,Dataset!$F:$F,Resumen!W$8,Dataset!$T:$T,$B58)</f>
        <v>0</v>
      </c>
      <c r="X58" s="40">
        <f>SUMIFS(Dataset!$AA:$AA,Dataset!$F:$F,Resumen!W$8,Dataset!$T:$T,$B58)</f>
        <v>0</v>
      </c>
      <c r="Y58" s="41">
        <f>SUMIFS(Dataset!$AJ:$AJ,Dataset!$F:$F,Resumen!Y$8,Dataset!$T:$T,$B58)</f>
        <v>0</v>
      </c>
      <c r="Z58" s="40">
        <f>SUMIFS(Dataset!$AA:$AA,Dataset!$F:$F,Resumen!Y$8,Dataset!$T:$T,$B58)</f>
        <v>0</v>
      </c>
      <c r="AA58" s="41">
        <f>SUMIFS(Dataset!$AJ:$AJ,Dataset!$F:$F,Resumen!AA$8,Dataset!$T:$T,$B58)</f>
        <v>0</v>
      </c>
      <c r="AB58" s="40">
        <f>SUMIFS(Dataset!$AA:$AA,Dataset!$F:$F,Resumen!AA$8,Dataset!$T:$T,$B58)</f>
        <v>0</v>
      </c>
    </row>
    <row r="59" spans="2:30" ht="30" customHeight="1" x14ac:dyDescent="0.3">
      <c r="B59" s="163" t="s">
        <v>62</v>
      </c>
      <c r="C59" s="163"/>
      <c r="D59" s="163"/>
      <c r="E59" s="38">
        <f>SUM(E51:E58)</f>
        <v>-1.0390993621101074E-15</v>
      </c>
      <c r="F59" s="39">
        <f t="shared" ref="F59:AD59" si="1">SUM(F51:F58)</f>
        <v>1.0000000000000002</v>
      </c>
      <c r="G59" s="38">
        <f t="shared" si="1"/>
        <v>0</v>
      </c>
      <c r="H59" s="39">
        <f t="shared" si="1"/>
        <v>0</v>
      </c>
      <c r="I59" s="38">
        <f t="shared" si="1"/>
        <v>0</v>
      </c>
      <c r="J59" s="39">
        <f t="shared" si="1"/>
        <v>0</v>
      </c>
      <c r="K59" s="38">
        <f t="shared" si="1"/>
        <v>0</v>
      </c>
      <c r="L59" s="39">
        <f t="shared" si="1"/>
        <v>0</v>
      </c>
      <c r="M59" s="38">
        <f t="shared" si="1"/>
        <v>-2.3940069653126332E-2</v>
      </c>
      <c r="N59" s="39">
        <f t="shared" si="1"/>
        <v>1.0000000000000002</v>
      </c>
      <c r="O59" s="38">
        <f t="shared" si="1"/>
        <v>0</v>
      </c>
      <c r="P59" s="39">
        <f t="shared" si="1"/>
        <v>0</v>
      </c>
      <c r="Q59" s="38">
        <f t="shared" si="1"/>
        <v>0</v>
      </c>
      <c r="R59" s="39">
        <f t="shared" si="1"/>
        <v>0</v>
      </c>
      <c r="S59" s="38">
        <f t="shared" si="1"/>
        <v>0</v>
      </c>
      <c r="T59" s="39">
        <f t="shared" si="1"/>
        <v>0</v>
      </c>
      <c r="U59" s="38">
        <f t="shared" si="1"/>
        <v>0</v>
      </c>
      <c r="V59" s="39">
        <f t="shared" si="1"/>
        <v>0</v>
      </c>
      <c r="W59" s="38">
        <f t="shared" si="1"/>
        <v>0</v>
      </c>
      <c r="X59" s="39">
        <f t="shared" si="1"/>
        <v>0</v>
      </c>
      <c r="Y59" s="38">
        <f t="shared" si="1"/>
        <v>0</v>
      </c>
      <c r="Z59" s="39">
        <f t="shared" si="1"/>
        <v>0</v>
      </c>
      <c r="AA59" s="38">
        <f t="shared" si="1"/>
        <v>0</v>
      </c>
      <c r="AB59" s="39">
        <f t="shared" si="1"/>
        <v>0</v>
      </c>
      <c r="AC59" s="22">
        <f t="shared" si="1"/>
        <v>0</v>
      </c>
      <c r="AD59" s="22">
        <f t="shared" si="1"/>
        <v>0</v>
      </c>
    </row>
    <row r="60" spans="2:30" x14ac:dyDescent="0.3"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2" spans="2:30" ht="27" x14ac:dyDescent="0.3">
      <c r="B62" s="173"/>
      <c r="C62" s="173"/>
      <c r="D62" s="173"/>
      <c r="E62" s="173"/>
      <c r="F62" s="173"/>
      <c r="G62" s="173"/>
      <c r="H62" s="173"/>
      <c r="I62" s="173"/>
      <c r="J62" s="173"/>
      <c r="K62" s="173"/>
      <c r="L62" s="173"/>
      <c r="M62" s="173"/>
      <c r="N62" s="173"/>
      <c r="O62" s="173"/>
      <c r="P62" s="173"/>
      <c r="Q62" s="173"/>
      <c r="R62" s="173"/>
      <c r="S62" s="173"/>
      <c r="T62" s="173"/>
      <c r="U62" s="173"/>
      <c r="V62" s="173"/>
      <c r="W62" s="173"/>
      <c r="X62" s="173"/>
      <c r="Y62" s="173"/>
      <c r="Z62" s="173"/>
      <c r="AA62" s="173"/>
      <c r="AB62" s="173"/>
    </row>
    <row r="63" spans="2:30" x14ac:dyDescent="0.3">
      <c r="B63" s="44" t="s">
        <v>70</v>
      </c>
    </row>
  </sheetData>
  <mergeCells count="55">
    <mergeCell ref="B2:AB2"/>
    <mergeCell ref="B3:AB3"/>
    <mergeCell ref="B62:AB62"/>
    <mergeCell ref="B58:D58"/>
    <mergeCell ref="AA8:AB8"/>
    <mergeCell ref="C18:D18"/>
    <mergeCell ref="B46:B48"/>
    <mergeCell ref="C46:D46"/>
    <mergeCell ref="C47:D47"/>
    <mergeCell ref="B14:B17"/>
    <mergeCell ref="B18:B21"/>
    <mergeCell ref="C19:D19"/>
    <mergeCell ref="C20:D20"/>
    <mergeCell ref="C21:D21"/>
    <mergeCell ref="C22:C25"/>
    <mergeCell ref="B22:B29"/>
    <mergeCell ref="I8:J8"/>
    <mergeCell ref="Q8:R8"/>
    <mergeCell ref="E8:F8"/>
    <mergeCell ref="G8:H8"/>
    <mergeCell ref="K8:L8"/>
    <mergeCell ref="M8:N8"/>
    <mergeCell ref="O8:P8"/>
    <mergeCell ref="S8:T8"/>
    <mergeCell ref="U8:V8"/>
    <mergeCell ref="W8:X8"/>
    <mergeCell ref="Y8:Z8"/>
    <mergeCell ref="B59:D59"/>
    <mergeCell ref="B8:D9"/>
    <mergeCell ref="C38:C41"/>
    <mergeCell ref="C42:C45"/>
    <mergeCell ref="B54:D54"/>
    <mergeCell ref="C17:D17"/>
    <mergeCell ref="C10:D10"/>
    <mergeCell ref="C11:D11"/>
    <mergeCell ref="C12:D12"/>
    <mergeCell ref="C13:D13"/>
    <mergeCell ref="B49:D49"/>
    <mergeCell ref="B50:D50"/>
    <mergeCell ref="B10:B13"/>
    <mergeCell ref="B56:D56"/>
    <mergeCell ref="C16:D16"/>
    <mergeCell ref="B51:D51"/>
    <mergeCell ref="C14:D14"/>
    <mergeCell ref="B53:D53"/>
    <mergeCell ref="C15:D15"/>
    <mergeCell ref="C26:C29"/>
    <mergeCell ref="C48:D48"/>
    <mergeCell ref="B57:D57"/>
    <mergeCell ref="B55:D55"/>
    <mergeCell ref="B52:D52"/>
    <mergeCell ref="C34:C37"/>
    <mergeCell ref="B38:B45"/>
    <mergeCell ref="B30:B37"/>
    <mergeCell ref="C30:C33"/>
  </mergeCells>
  <conditionalFormatting sqref="G11:G24 F55:F56 E57:AB58">
    <cfRule type="cellIs" dxfId="487" priority="944" operator="lessThan">
      <formula>0</formula>
    </cfRule>
  </conditionalFormatting>
  <conditionalFormatting sqref="H11:H24">
    <cfRule type="cellIs" dxfId="486" priority="943" operator="lessThan">
      <formula>0</formula>
    </cfRule>
  </conditionalFormatting>
  <conditionalFormatting sqref="K11:K24">
    <cfRule type="cellIs" dxfId="485" priority="942" operator="lessThan">
      <formula>0</formula>
    </cfRule>
  </conditionalFormatting>
  <conditionalFormatting sqref="L11:L24">
    <cfRule type="cellIs" dxfId="484" priority="941" operator="lessThan">
      <formula>0</formula>
    </cfRule>
  </conditionalFormatting>
  <conditionalFormatting sqref="G25:G29 G46:G48">
    <cfRule type="cellIs" dxfId="483" priority="939" operator="lessThan">
      <formula>0</formula>
    </cfRule>
  </conditionalFormatting>
  <conditionalFormatting sqref="H25:H29 H46:H48">
    <cfRule type="cellIs" dxfId="482" priority="938" operator="lessThan">
      <formula>0</formula>
    </cfRule>
  </conditionalFormatting>
  <conditionalFormatting sqref="K25:K29 K46:K48">
    <cfRule type="cellIs" dxfId="481" priority="937" operator="lessThan">
      <formula>0</formula>
    </cfRule>
  </conditionalFormatting>
  <conditionalFormatting sqref="L25:L29 L46:L48">
    <cfRule type="cellIs" dxfId="480" priority="936" operator="lessThan">
      <formula>0</formula>
    </cfRule>
  </conditionalFormatting>
  <conditionalFormatting sqref="G38:G40">
    <cfRule type="cellIs" dxfId="479" priority="704" operator="lessThan">
      <formula>0</formula>
    </cfRule>
  </conditionalFormatting>
  <conditionalFormatting sqref="H38:H40">
    <cfRule type="cellIs" dxfId="478" priority="703" operator="lessThan">
      <formula>0</formula>
    </cfRule>
  </conditionalFormatting>
  <conditionalFormatting sqref="E49:E50">
    <cfRule type="cellIs" dxfId="477" priority="804" operator="lessThan">
      <formula>0</formula>
    </cfRule>
  </conditionalFormatting>
  <conditionalFormatting sqref="F49:F50">
    <cfRule type="cellIs" dxfId="476" priority="803" operator="lessThan">
      <formula>0</formula>
    </cfRule>
  </conditionalFormatting>
  <conditionalFormatting sqref="G49:G50">
    <cfRule type="cellIs" dxfId="475" priority="802" operator="lessThan">
      <formula>0</formula>
    </cfRule>
  </conditionalFormatting>
  <conditionalFormatting sqref="E10:E23">
    <cfRule type="cellIs" dxfId="474" priority="904" operator="lessThan">
      <formula>0</formula>
    </cfRule>
  </conditionalFormatting>
  <conditionalFormatting sqref="F10:F23">
    <cfRule type="cellIs" dxfId="473" priority="903" operator="lessThan">
      <formula>0</formula>
    </cfRule>
  </conditionalFormatting>
  <conditionalFormatting sqref="G10:G23">
    <cfRule type="cellIs" dxfId="472" priority="902" operator="lessThan">
      <formula>0</formula>
    </cfRule>
  </conditionalFormatting>
  <conditionalFormatting sqref="H10:H23">
    <cfRule type="cellIs" dxfId="471" priority="901" operator="lessThan">
      <formula>0</formula>
    </cfRule>
  </conditionalFormatting>
  <conditionalFormatting sqref="K10:K23">
    <cfRule type="cellIs" dxfId="470" priority="900" operator="lessThan">
      <formula>0</formula>
    </cfRule>
  </conditionalFormatting>
  <conditionalFormatting sqref="E24:E29 E46:E48">
    <cfRule type="cellIs" dxfId="469" priority="899" operator="lessThan">
      <formula>0</formula>
    </cfRule>
  </conditionalFormatting>
  <conditionalFormatting sqref="F24:F29 F46:F48">
    <cfRule type="cellIs" dxfId="468" priority="898" operator="lessThan">
      <formula>0</formula>
    </cfRule>
  </conditionalFormatting>
  <conditionalFormatting sqref="G24:G29 G46:G48">
    <cfRule type="cellIs" dxfId="467" priority="897" operator="lessThan">
      <formula>0</formula>
    </cfRule>
  </conditionalFormatting>
  <conditionalFormatting sqref="H24:H29 H46:H48">
    <cfRule type="cellIs" dxfId="466" priority="896" operator="lessThan">
      <formula>0</formula>
    </cfRule>
  </conditionalFormatting>
  <conditionalFormatting sqref="K24:K29 K46:K48">
    <cfRule type="cellIs" dxfId="465" priority="895" operator="lessThan">
      <formula>0</formula>
    </cfRule>
  </conditionalFormatting>
  <conditionalFormatting sqref="L10:L23">
    <cfRule type="cellIs" dxfId="464" priority="894" operator="lessThan">
      <formula>0</formula>
    </cfRule>
  </conditionalFormatting>
  <conditionalFormatting sqref="L24:L29 L46:L48">
    <cfRule type="cellIs" dxfId="463" priority="889" operator="lessThan">
      <formula>0</formula>
    </cfRule>
  </conditionalFormatting>
  <conditionalFormatting sqref="E38:E39">
    <cfRule type="cellIs" dxfId="462" priority="664" operator="lessThan">
      <formula>0</formula>
    </cfRule>
  </conditionalFormatting>
  <conditionalFormatting sqref="F38:F39">
    <cfRule type="cellIs" dxfId="461" priority="663" operator="lessThan">
      <formula>0</formula>
    </cfRule>
  </conditionalFormatting>
  <conditionalFormatting sqref="G38:G39">
    <cfRule type="cellIs" dxfId="460" priority="662" operator="lessThan">
      <formula>0</formula>
    </cfRule>
  </conditionalFormatting>
  <conditionalFormatting sqref="H38:H39">
    <cfRule type="cellIs" dxfId="459" priority="661" operator="lessThan">
      <formula>0</formula>
    </cfRule>
  </conditionalFormatting>
  <conditionalFormatting sqref="U30:U31">
    <cfRule type="cellIs" dxfId="458" priority="480" operator="lessThan">
      <formula>0</formula>
    </cfRule>
  </conditionalFormatting>
  <conditionalFormatting sqref="V30:V31">
    <cfRule type="cellIs" dxfId="457" priority="479" operator="lessThan">
      <formula>0</formula>
    </cfRule>
  </conditionalFormatting>
  <conditionalFormatting sqref="W30:W31">
    <cfRule type="cellIs" dxfId="456" priority="478" operator="lessThan">
      <formula>0</formula>
    </cfRule>
  </conditionalFormatting>
  <conditionalFormatting sqref="U32:U37">
    <cfRule type="cellIs" dxfId="455" priority="477" operator="lessThan">
      <formula>0</formula>
    </cfRule>
  </conditionalFormatting>
  <conditionalFormatting sqref="V32:V37">
    <cfRule type="cellIs" dxfId="454" priority="476" operator="lessThan">
      <formula>0</formula>
    </cfRule>
  </conditionalFormatting>
  <conditionalFormatting sqref="W32:W37">
    <cfRule type="cellIs" dxfId="453" priority="475" operator="lessThan">
      <formula>0</formula>
    </cfRule>
  </conditionalFormatting>
  <conditionalFormatting sqref="X30:X31">
    <cfRule type="cellIs" dxfId="452" priority="474" operator="lessThan">
      <formula>0</formula>
    </cfRule>
  </conditionalFormatting>
  <conditionalFormatting sqref="X32:X37">
    <cfRule type="cellIs" dxfId="451" priority="473" operator="lessThan">
      <formula>0</formula>
    </cfRule>
  </conditionalFormatting>
  <conditionalFormatting sqref="U38:U40">
    <cfRule type="cellIs" dxfId="450" priority="472" operator="lessThan">
      <formula>0</formula>
    </cfRule>
  </conditionalFormatting>
  <conditionalFormatting sqref="V38:V40">
    <cfRule type="cellIs" dxfId="449" priority="471" operator="lessThan">
      <formula>0</formula>
    </cfRule>
  </conditionalFormatting>
  <conditionalFormatting sqref="W38:W40">
    <cfRule type="cellIs" dxfId="448" priority="470" operator="lessThan">
      <formula>0</formula>
    </cfRule>
  </conditionalFormatting>
  <conditionalFormatting sqref="X38:X40">
    <cfRule type="cellIs" dxfId="447" priority="469" operator="lessThan">
      <formula>0</formula>
    </cfRule>
  </conditionalFormatting>
  <conditionalFormatting sqref="U41:U45">
    <cfRule type="cellIs" dxfId="446" priority="468" operator="lessThan">
      <formula>0</formula>
    </cfRule>
  </conditionalFormatting>
  <conditionalFormatting sqref="V41:V45">
    <cfRule type="cellIs" dxfId="445" priority="467" operator="lessThan">
      <formula>0</formula>
    </cfRule>
  </conditionalFormatting>
  <conditionalFormatting sqref="W41:W45">
    <cfRule type="cellIs" dxfId="444" priority="466" operator="lessThan">
      <formula>0</formula>
    </cfRule>
  </conditionalFormatting>
  <conditionalFormatting sqref="X41:X45">
    <cfRule type="cellIs" dxfId="443" priority="465" operator="lessThan">
      <formula>0</formula>
    </cfRule>
  </conditionalFormatting>
  <conditionalFormatting sqref="U38:U39">
    <cfRule type="cellIs" dxfId="442" priority="464" operator="lessThan">
      <formula>0</formula>
    </cfRule>
  </conditionalFormatting>
  <conditionalFormatting sqref="V38:V39">
    <cfRule type="cellIs" dxfId="441" priority="463" operator="lessThan">
      <formula>0</formula>
    </cfRule>
  </conditionalFormatting>
  <conditionalFormatting sqref="W38:W39">
    <cfRule type="cellIs" dxfId="440" priority="462" operator="lessThan">
      <formula>0</formula>
    </cfRule>
  </conditionalFormatting>
  <conditionalFormatting sqref="U40:U45">
    <cfRule type="cellIs" dxfId="439" priority="461" operator="lessThan">
      <formula>0</formula>
    </cfRule>
  </conditionalFormatting>
  <conditionalFormatting sqref="V40:V45">
    <cfRule type="cellIs" dxfId="438" priority="460" operator="lessThan">
      <formula>0</formula>
    </cfRule>
  </conditionalFormatting>
  <conditionalFormatting sqref="W40:W45">
    <cfRule type="cellIs" dxfId="437" priority="459" operator="lessThan">
      <formula>0</formula>
    </cfRule>
  </conditionalFormatting>
  <conditionalFormatting sqref="X38:X39">
    <cfRule type="cellIs" dxfId="436" priority="458" operator="lessThan">
      <formula>0</formula>
    </cfRule>
  </conditionalFormatting>
  <conditionalFormatting sqref="X40:X45">
    <cfRule type="cellIs" dxfId="435" priority="457" operator="lessThan">
      <formula>0</formula>
    </cfRule>
  </conditionalFormatting>
  <conditionalFormatting sqref="Y11:Y24">
    <cfRule type="cellIs" dxfId="434" priority="456" operator="lessThan">
      <formula>0</formula>
    </cfRule>
  </conditionalFormatting>
  <conditionalFormatting sqref="Z11:Z24">
    <cfRule type="cellIs" dxfId="433" priority="455" operator="lessThan">
      <formula>0</formula>
    </cfRule>
  </conditionalFormatting>
  <conditionalFormatting sqref="AA11:AA24">
    <cfRule type="cellIs" dxfId="432" priority="454" operator="lessThan">
      <formula>0</formula>
    </cfRule>
  </conditionalFormatting>
  <conditionalFormatting sqref="AB11:AB24">
    <cfRule type="cellIs" dxfId="431" priority="453" operator="lessThan">
      <formula>0</formula>
    </cfRule>
  </conditionalFormatting>
  <conditionalFormatting sqref="Y25:Y29 Y46:Y48">
    <cfRule type="cellIs" dxfId="430" priority="452" operator="lessThan">
      <formula>0</formula>
    </cfRule>
  </conditionalFormatting>
  <conditionalFormatting sqref="Z25:Z29 Z46:Z48">
    <cfRule type="cellIs" dxfId="429" priority="451" operator="lessThan">
      <formula>0</formula>
    </cfRule>
  </conditionalFormatting>
  <conditionalFormatting sqref="AA25:AA29 AA46:AA48">
    <cfRule type="cellIs" dxfId="428" priority="450" operator="lessThan">
      <formula>0</formula>
    </cfRule>
  </conditionalFormatting>
  <conditionalFormatting sqref="AB25:AB29 AB46:AB48">
    <cfRule type="cellIs" dxfId="427" priority="449" operator="lessThan">
      <formula>0</formula>
    </cfRule>
  </conditionalFormatting>
  <conditionalFormatting sqref="Y10:Y23">
    <cfRule type="cellIs" dxfId="426" priority="448" operator="lessThan">
      <formula>0</formula>
    </cfRule>
  </conditionalFormatting>
  <conditionalFormatting sqref="Z10:Z23">
    <cfRule type="cellIs" dxfId="425" priority="447" operator="lessThan">
      <formula>0</formula>
    </cfRule>
  </conditionalFormatting>
  <conditionalFormatting sqref="AA10:AA23">
    <cfRule type="cellIs" dxfId="424" priority="446" operator="lessThan">
      <formula>0</formula>
    </cfRule>
  </conditionalFormatting>
  <conditionalFormatting sqref="Y24:Y29 Y46:Y48">
    <cfRule type="cellIs" dxfId="423" priority="445" operator="lessThan">
      <formula>0</formula>
    </cfRule>
  </conditionalFormatting>
  <conditionalFormatting sqref="Z24:Z29 Z46:Z48">
    <cfRule type="cellIs" dxfId="422" priority="444" operator="lessThan">
      <formula>0</formula>
    </cfRule>
  </conditionalFormatting>
  <conditionalFormatting sqref="AA24:AA29 AA46:AA48">
    <cfRule type="cellIs" dxfId="421" priority="443" operator="lessThan">
      <formula>0</formula>
    </cfRule>
  </conditionalFormatting>
  <conditionalFormatting sqref="AB10:AB23">
    <cfRule type="cellIs" dxfId="420" priority="442" operator="lessThan">
      <formula>0</formula>
    </cfRule>
  </conditionalFormatting>
  <conditionalFormatting sqref="AB24:AB29 AB46:AB48">
    <cfRule type="cellIs" dxfId="419" priority="441" operator="lessThan">
      <formula>0</formula>
    </cfRule>
  </conditionalFormatting>
  <conditionalFormatting sqref="G49:G50">
    <cfRule type="cellIs" dxfId="418" priority="824" operator="lessThan">
      <formula>0</formula>
    </cfRule>
  </conditionalFormatting>
  <conditionalFormatting sqref="H49:H50">
    <cfRule type="cellIs" dxfId="417" priority="823" operator="lessThan">
      <formula>0</formula>
    </cfRule>
  </conditionalFormatting>
  <conditionalFormatting sqref="K49:K50">
    <cfRule type="cellIs" dxfId="416" priority="822" operator="lessThan">
      <formula>0</formula>
    </cfRule>
  </conditionalFormatting>
  <conditionalFormatting sqref="L49:L50">
    <cfRule type="cellIs" dxfId="415" priority="821" operator="lessThan">
      <formula>0</formula>
    </cfRule>
  </conditionalFormatting>
  <conditionalFormatting sqref="M33:M37">
    <cfRule type="cellIs" dxfId="414" priority="596" operator="lessThan">
      <formula>0</formula>
    </cfRule>
  </conditionalFormatting>
  <conditionalFormatting sqref="N33:N37">
    <cfRule type="cellIs" dxfId="413" priority="595" operator="lessThan">
      <formula>0</formula>
    </cfRule>
  </conditionalFormatting>
  <conditionalFormatting sqref="O33:O37">
    <cfRule type="cellIs" dxfId="412" priority="594" operator="lessThan">
      <formula>0</formula>
    </cfRule>
  </conditionalFormatting>
  <conditionalFormatting sqref="P33:P37">
    <cfRule type="cellIs" dxfId="411" priority="593" operator="lessThan">
      <formula>0</formula>
    </cfRule>
  </conditionalFormatting>
  <conditionalFormatting sqref="G41:G45">
    <cfRule type="cellIs" dxfId="410" priority="699" operator="lessThan">
      <formula>0</formula>
    </cfRule>
  </conditionalFormatting>
  <conditionalFormatting sqref="H41:H45">
    <cfRule type="cellIs" dxfId="409" priority="698" operator="lessThan">
      <formula>0</formula>
    </cfRule>
  </conditionalFormatting>
  <conditionalFormatting sqref="K41:K45">
    <cfRule type="cellIs" dxfId="408" priority="697" operator="lessThan">
      <formula>0</formula>
    </cfRule>
  </conditionalFormatting>
  <conditionalFormatting sqref="H49:H50">
    <cfRule type="cellIs" dxfId="407" priority="801" operator="lessThan">
      <formula>0</formula>
    </cfRule>
  </conditionalFormatting>
  <conditionalFormatting sqref="K49:K50">
    <cfRule type="cellIs" dxfId="406" priority="800" operator="lessThan">
      <formula>0</formula>
    </cfRule>
  </conditionalFormatting>
  <conditionalFormatting sqref="L49:L50">
    <cfRule type="cellIs" dxfId="405" priority="799" operator="lessThan">
      <formula>0</formula>
    </cfRule>
  </conditionalFormatting>
  <conditionalFormatting sqref="O38:O39">
    <cfRule type="cellIs" dxfId="404" priority="574" operator="lessThan">
      <formula>0</formula>
    </cfRule>
  </conditionalFormatting>
  <conditionalFormatting sqref="M40:M45">
    <cfRule type="cellIs" dxfId="403" priority="573" operator="lessThan">
      <formula>0</formula>
    </cfRule>
  </conditionalFormatting>
  <conditionalFormatting sqref="N40:N45">
    <cfRule type="cellIs" dxfId="402" priority="572" operator="lessThan">
      <formula>0</formula>
    </cfRule>
  </conditionalFormatting>
  <conditionalFormatting sqref="O40:O45">
    <cfRule type="cellIs" dxfId="401" priority="571" operator="lessThan">
      <formula>0</formula>
    </cfRule>
  </conditionalFormatting>
  <conditionalFormatting sqref="M11:M24">
    <cfRule type="cellIs" dxfId="400" priority="624" operator="lessThan">
      <formula>0</formula>
    </cfRule>
  </conditionalFormatting>
  <conditionalFormatting sqref="N11:N24">
    <cfRule type="cellIs" dxfId="399" priority="623" operator="lessThan">
      <formula>0</formula>
    </cfRule>
  </conditionalFormatting>
  <conditionalFormatting sqref="L32:L37">
    <cfRule type="cellIs" dxfId="398" priority="729" operator="lessThan">
      <formula>0</formula>
    </cfRule>
  </conditionalFormatting>
  <conditionalFormatting sqref="G30:G32">
    <cfRule type="cellIs" dxfId="397" priority="784" operator="lessThan">
      <formula>0</formula>
    </cfRule>
  </conditionalFormatting>
  <conditionalFormatting sqref="H30:H32">
    <cfRule type="cellIs" dxfId="396" priority="783" operator="lessThan">
      <formula>0</formula>
    </cfRule>
  </conditionalFormatting>
  <conditionalFormatting sqref="K30:K32">
    <cfRule type="cellIs" dxfId="395" priority="782" operator="lessThan">
      <formula>0</formula>
    </cfRule>
  </conditionalFormatting>
  <conditionalFormatting sqref="L30:L32">
    <cfRule type="cellIs" dxfId="394" priority="781" operator="lessThan">
      <formula>0</formula>
    </cfRule>
  </conditionalFormatting>
  <conditionalFormatting sqref="R24:R29 R46:R48">
    <cfRule type="cellIs" dxfId="393" priority="556" operator="lessThan">
      <formula>0</formula>
    </cfRule>
  </conditionalFormatting>
  <conditionalFormatting sqref="G33:G37">
    <cfRule type="cellIs" dxfId="392" priority="779" operator="lessThan">
      <formula>0</formula>
    </cfRule>
  </conditionalFormatting>
  <conditionalFormatting sqref="H33:H37">
    <cfRule type="cellIs" dxfId="391" priority="778" operator="lessThan">
      <formula>0</formula>
    </cfRule>
  </conditionalFormatting>
  <conditionalFormatting sqref="K33:K37">
    <cfRule type="cellIs" dxfId="390" priority="777" operator="lessThan">
      <formula>0</formula>
    </cfRule>
  </conditionalFormatting>
  <conditionalFormatting sqref="L33:L37">
    <cfRule type="cellIs" dxfId="389" priority="776" operator="lessThan">
      <formula>0</formula>
    </cfRule>
  </conditionalFormatting>
  <conditionalFormatting sqref="R49:R50">
    <cfRule type="cellIs" dxfId="388" priority="551" operator="lessThan">
      <formula>0</formula>
    </cfRule>
  </conditionalFormatting>
  <conditionalFormatting sqref="S49:S50">
    <cfRule type="cellIs" dxfId="387" priority="550" operator="lessThan">
      <formula>0</formula>
    </cfRule>
  </conditionalFormatting>
  <conditionalFormatting sqref="T49:T50">
    <cfRule type="cellIs" dxfId="386" priority="549" operator="lessThan">
      <formula>0</formula>
    </cfRule>
  </conditionalFormatting>
  <conditionalFormatting sqref="Q49:Q50">
    <cfRule type="cellIs" dxfId="385" priority="548" operator="lessThan">
      <formula>0</formula>
    </cfRule>
  </conditionalFormatting>
  <conditionalFormatting sqref="N49:N50">
    <cfRule type="cellIs" dxfId="384" priority="603" operator="lessThan">
      <formula>0</formula>
    </cfRule>
  </conditionalFormatting>
  <conditionalFormatting sqref="O49:O50">
    <cfRule type="cellIs" dxfId="383" priority="602" operator="lessThan">
      <formula>0</formula>
    </cfRule>
  </conditionalFormatting>
  <conditionalFormatting sqref="T49:T50">
    <cfRule type="cellIs" dxfId="382" priority="545" operator="lessThan">
      <formula>0</formula>
    </cfRule>
  </conditionalFormatting>
  <conditionalFormatting sqref="Q30:Q32">
    <cfRule type="cellIs" dxfId="381" priority="544" operator="lessThan">
      <formula>0</formula>
    </cfRule>
  </conditionalFormatting>
  <conditionalFormatting sqref="R30:R32">
    <cfRule type="cellIs" dxfId="380" priority="543" operator="lessThan">
      <formula>0</formula>
    </cfRule>
  </conditionalFormatting>
  <conditionalFormatting sqref="O30:O32">
    <cfRule type="cellIs" dxfId="379" priority="598" operator="lessThan">
      <formula>0</formula>
    </cfRule>
  </conditionalFormatting>
  <conditionalFormatting sqref="P30:P32">
    <cfRule type="cellIs" dxfId="378" priority="597" operator="lessThan">
      <formula>0</formula>
    </cfRule>
  </conditionalFormatting>
  <conditionalFormatting sqref="L40:L45">
    <cfRule type="cellIs" dxfId="377" priority="649" operator="lessThan">
      <formula>0</formula>
    </cfRule>
  </conditionalFormatting>
  <conditionalFormatting sqref="N30:N31">
    <cfRule type="cellIs" dxfId="376" priority="591" operator="lessThan">
      <formula>0</formula>
    </cfRule>
  </conditionalFormatting>
  <conditionalFormatting sqref="O30:O31">
    <cfRule type="cellIs" dxfId="375" priority="590" operator="lessThan">
      <formula>0</formula>
    </cfRule>
  </conditionalFormatting>
  <conditionalFormatting sqref="L41:L45">
    <cfRule type="cellIs" dxfId="374" priority="696" operator="lessThan">
      <formula>0</formula>
    </cfRule>
  </conditionalFormatting>
  <conditionalFormatting sqref="E30:E31">
    <cfRule type="cellIs" dxfId="373" priority="744" operator="lessThan">
      <formula>0</formula>
    </cfRule>
  </conditionalFormatting>
  <conditionalFormatting sqref="F30:F31">
    <cfRule type="cellIs" dxfId="372" priority="743" operator="lessThan">
      <formula>0</formula>
    </cfRule>
  </conditionalFormatting>
  <conditionalFormatting sqref="G30:G31">
    <cfRule type="cellIs" dxfId="371" priority="742" operator="lessThan">
      <formula>0</formula>
    </cfRule>
  </conditionalFormatting>
  <conditionalFormatting sqref="H30:H31">
    <cfRule type="cellIs" dxfId="370" priority="741" operator="lessThan">
      <formula>0</formula>
    </cfRule>
  </conditionalFormatting>
  <conditionalFormatting sqref="K30:K31">
    <cfRule type="cellIs" dxfId="369" priority="740" operator="lessThan">
      <formula>0</formula>
    </cfRule>
  </conditionalFormatting>
  <conditionalFormatting sqref="E32:E37">
    <cfRule type="cellIs" dxfId="368" priority="739" operator="lessThan">
      <formula>0</formula>
    </cfRule>
  </conditionalFormatting>
  <conditionalFormatting sqref="F32:F37">
    <cfRule type="cellIs" dxfId="367" priority="738" operator="lessThan">
      <formula>0</formula>
    </cfRule>
  </conditionalFormatting>
  <conditionalFormatting sqref="G32:G37">
    <cfRule type="cellIs" dxfId="366" priority="737" operator="lessThan">
      <formula>0</formula>
    </cfRule>
  </conditionalFormatting>
  <conditionalFormatting sqref="H32:H37">
    <cfRule type="cellIs" dxfId="365" priority="736" operator="lessThan">
      <formula>0</formula>
    </cfRule>
  </conditionalFormatting>
  <conditionalFormatting sqref="K32:K37">
    <cfRule type="cellIs" dxfId="364" priority="735" operator="lessThan">
      <formula>0</formula>
    </cfRule>
  </conditionalFormatting>
  <conditionalFormatting sqref="L30:L31">
    <cfRule type="cellIs" dxfId="363" priority="734" operator="lessThan">
      <formula>0</formula>
    </cfRule>
  </conditionalFormatting>
  <conditionalFormatting sqref="X11:X24">
    <cfRule type="cellIs" dxfId="362" priority="509" operator="lessThan">
      <formula>0</formula>
    </cfRule>
  </conditionalFormatting>
  <conditionalFormatting sqref="U25:U29 U46:U48">
    <cfRule type="cellIs" dxfId="361" priority="508" operator="lessThan">
      <formula>0</formula>
    </cfRule>
  </conditionalFormatting>
  <conditionalFormatting sqref="V25:V29 V46:V48">
    <cfRule type="cellIs" dxfId="360" priority="507" operator="lessThan">
      <formula>0</formula>
    </cfRule>
  </conditionalFormatting>
  <conditionalFormatting sqref="W25:W29 W46:W48">
    <cfRule type="cellIs" dxfId="359" priority="506" operator="lessThan">
      <formula>0</formula>
    </cfRule>
  </conditionalFormatting>
  <conditionalFormatting sqref="U10:U23">
    <cfRule type="cellIs" dxfId="358" priority="504" operator="lessThan">
      <formula>0</formula>
    </cfRule>
  </conditionalFormatting>
  <conditionalFormatting sqref="V10:V23">
    <cfRule type="cellIs" dxfId="357" priority="503" operator="lessThan">
      <formula>0</formula>
    </cfRule>
  </conditionalFormatting>
  <conditionalFormatting sqref="W10:W23">
    <cfRule type="cellIs" dxfId="356" priority="502" operator="lessThan">
      <formula>0</formula>
    </cfRule>
  </conditionalFormatting>
  <conditionalFormatting sqref="U24:U29 U46:U48">
    <cfRule type="cellIs" dxfId="355" priority="501" operator="lessThan">
      <formula>0</formula>
    </cfRule>
  </conditionalFormatting>
  <conditionalFormatting sqref="S24:S29 S46:S48">
    <cfRule type="cellIs" dxfId="354" priority="555" operator="lessThan">
      <formula>0</formula>
    </cfRule>
  </conditionalFormatting>
  <conditionalFormatting sqref="T10:T23">
    <cfRule type="cellIs" dxfId="353" priority="554" operator="lessThan">
      <formula>0</formula>
    </cfRule>
  </conditionalFormatting>
  <conditionalFormatting sqref="T24:T29 T46:T48">
    <cfRule type="cellIs" dxfId="352" priority="553" operator="lessThan">
      <formula>0</formula>
    </cfRule>
  </conditionalFormatting>
  <conditionalFormatting sqref="M49:M50">
    <cfRule type="cellIs" dxfId="351" priority="608" operator="lessThan">
      <formula>0</formula>
    </cfRule>
  </conditionalFormatting>
  <conditionalFormatting sqref="P49:P50">
    <cfRule type="cellIs" dxfId="350" priority="601" operator="lessThan">
      <formula>0</formula>
    </cfRule>
  </conditionalFormatting>
  <conditionalFormatting sqref="M30:M32">
    <cfRule type="cellIs" dxfId="349" priority="600" operator="lessThan">
      <formula>0</formula>
    </cfRule>
  </conditionalFormatting>
  <conditionalFormatting sqref="K40:K45">
    <cfRule type="cellIs" dxfId="348" priority="655" operator="lessThan">
      <formula>0</formula>
    </cfRule>
  </conditionalFormatting>
  <conditionalFormatting sqref="L38:L39">
    <cfRule type="cellIs" dxfId="347" priority="654" operator="lessThan">
      <formula>0</formula>
    </cfRule>
  </conditionalFormatting>
  <conditionalFormatting sqref="K38:K40">
    <cfRule type="cellIs" dxfId="346" priority="702" operator="lessThan">
      <formula>0</formula>
    </cfRule>
  </conditionalFormatting>
  <conditionalFormatting sqref="L38:L40">
    <cfRule type="cellIs" dxfId="345" priority="701" operator="lessThan">
      <formula>0</formula>
    </cfRule>
  </conditionalFormatting>
  <conditionalFormatting sqref="R41:R45">
    <cfRule type="cellIs" dxfId="344" priority="523" operator="lessThan">
      <formula>0</formula>
    </cfRule>
  </conditionalFormatting>
  <conditionalFormatting sqref="S41:S45">
    <cfRule type="cellIs" dxfId="343" priority="522" operator="lessThan">
      <formula>0</formula>
    </cfRule>
  </conditionalFormatting>
  <conditionalFormatting sqref="S38:S39">
    <cfRule type="cellIs" dxfId="342" priority="518" operator="lessThan">
      <formula>0</formula>
    </cfRule>
  </conditionalFormatting>
  <conditionalFormatting sqref="Q40:Q45">
    <cfRule type="cellIs" dxfId="341" priority="517" operator="lessThan">
      <formula>0</formula>
    </cfRule>
  </conditionalFormatting>
  <conditionalFormatting sqref="R40:R45">
    <cfRule type="cellIs" dxfId="340" priority="516" operator="lessThan">
      <formula>0</formula>
    </cfRule>
  </conditionalFormatting>
  <conditionalFormatting sqref="S40:S45">
    <cfRule type="cellIs" dxfId="339" priority="515" operator="lessThan">
      <formula>0</formula>
    </cfRule>
  </conditionalFormatting>
  <conditionalFormatting sqref="P38:P39">
    <cfRule type="cellIs" dxfId="338" priority="570" operator="lessThan">
      <formula>0</formula>
    </cfRule>
  </conditionalFormatting>
  <conditionalFormatting sqref="P40:P45">
    <cfRule type="cellIs" dxfId="337" priority="569" operator="lessThan">
      <formula>0</formula>
    </cfRule>
  </conditionalFormatting>
  <conditionalFormatting sqref="Q11:Q24">
    <cfRule type="cellIs" dxfId="336" priority="568" operator="lessThan">
      <formula>0</formula>
    </cfRule>
  </conditionalFormatting>
  <conditionalFormatting sqref="V11:V24">
    <cfRule type="cellIs" dxfId="335" priority="511" operator="lessThan">
      <formula>0</formula>
    </cfRule>
  </conditionalFormatting>
  <conditionalFormatting sqref="W11:W24">
    <cfRule type="cellIs" dxfId="334" priority="510" operator="lessThan">
      <formula>0</formula>
    </cfRule>
  </conditionalFormatting>
  <conditionalFormatting sqref="T11:T24">
    <cfRule type="cellIs" dxfId="333" priority="565" operator="lessThan">
      <formula>0</formula>
    </cfRule>
  </conditionalFormatting>
  <conditionalFormatting sqref="Q25:Q29 Q46:Q48">
    <cfRule type="cellIs" dxfId="332" priority="564" operator="lessThan">
      <formula>0</formula>
    </cfRule>
  </conditionalFormatting>
  <conditionalFormatting sqref="R25:R29 R46:R48">
    <cfRule type="cellIs" dxfId="331" priority="563" operator="lessThan">
      <formula>0</formula>
    </cfRule>
  </conditionalFormatting>
  <conditionalFormatting sqref="S25:S29 S46:S48">
    <cfRule type="cellIs" dxfId="330" priority="562" operator="lessThan">
      <formula>0</formula>
    </cfRule>
  </conditionalFormatting>
  <conditionalFormatting sqref="P25:P29 P46:P48">
    <cfRule type="cellIs" dxfId="329" priority="617" operator="lessThan">
      <formula>0</formula>
    </cfRule>
  </conditionalFormatting>
  <conditionalFormatting sqref="M10:M23">
    <cfRule type="cellIs" dxfId="328" priority="616" operator="lessThan">
      <formula>0</formula>
    </cfRule>
  </conditionalFormatting>
  <conditionalFormatting sqref="N10:N23">
    <cfRule type="cellIs" dxfId="327" priority="615" operator="lessThan">
      <formula>0</formula>
    </cfRule>
  </conditionalFormatting>
  <conditionalFormatting sqref="O10:O23">
    <cfRule type="cellIs" dxfId="326" priority="614" operator="lessThan">
      <formula>0</formula>
    </cfRule>
  </conditionalFormatting>
  <conditionalFormatting sqref="Q24:Q29 Q46:Q48">
    <cfRule type="cellIs" dxfId="325" priority="557" operator="lessThan">
      <formula>0</formula>
    </cfRule>
  </conditionalFormatting>
  <conditionalFormatting sqref="N24:N29 N46:N48">
    <cfRule type="cellIs" dxfId="324" priority="612" operator="lessThan">
      <formula>0</formula>
    </cfRule>
  </conditionalFormatting>
  <conditionalFormatting sqref="O24:O29 O46:O48">
    <cfRule type="cellIs" dxfId="323" priority="611" operator="lessThan">
      <formula>0</formula>
    </cfRule>
  </conditionalFormatting>
  <conditionalFormatting sqref="P10:P23">
    <cfRule type="cellIs" dxfId="322" priority="610" operator="lessThan">
      <formula>0</formula>
    </cfRule>
  </conditionalFormatting>
  <conditionalFormatting sqref="P24:P29 P46:P48">
    <cfRule type="cellIs" dxfId="321" priority="609" operator="lessThan">
      <formula>0</formula>
    </cfRule>
  </conditionalFormatting>
  <conditionalFormatting sqref="K38:K39">
    <cfRule type="cellIs" dxfId="320" priority="660" operator="lessThan">
      <formula>0</formula>
    </cfRule>
  </conditionalFormatting>
  <conditionalFormatting sqref="E40:E45">
    <cfRule type="cellIs" dxfId="319" priority="659" operator="lessThan">
      <formula>0</formula>
    </cfRule>
  </conditionalFormatting>
  <conditionalFormatting sqref="F40:F45">
    <cfRule type="cellIs" dxfId="318" priority="658" operator="lessThan">
      <formula>0</formula>
    </cfRule>
  </conditionalFormatting>
  <conditionalFormatting sqref="G40:G45">
    <cfRule type="cellIs" dxfId="317" priority="657" operator="lessThan">
      <formula>0</formula>
    </cfRule>
  </conditionalFormatting>
  <conditionalFormatting sqref="H40:H45">
    <cfRule type="cellIs" dxfId="316" priority="656" operator="lessThan">
      <formula>0</formula>
    </cfRule>
  </conditionalFormatting>
  <conditionalFormatting sqref="AB30:AB32">
    <cfRule type="cellIs" dxfId="315" priority="429" operator="lessThan">
      <formula>0</formula>
    </cfRule>
  </conditionalFormatting>
  <conditionalFormatting sqref="Y33:Y37">
    <cfRule type="cellIs" dxfId="314" priority="428" operator="lessThan">
      <formula>0</formula>
    </cfRule>
  </conditionalFormatting>
  <conditionalFormatting sqref="Z33:Z37">
    <cfRule type="cellIs" dxfId="313" priority="427" operator="lessThan">
      <formula>0</formula>
    </cfRule>
  </conditionalFormatting>
  <conditionalFormatting sqref="AA33:AA37">
    <cfRule type="cellIs" dxfId="312" priority="426" operator="lessThan">
      <formula>0</formula>
    </cfRule>
  </conditionalFormatting>
  <conditionalFormatting sqref="Y30:Y31">
    <cfRule type="cellIs" dxfId="311" priority="424" operator="lessThan">
      <formula>0</formula>
    </cfRule>
  </conditionalFormatting>
  <conditionalFormatting sqref="Z30:Z31">
    <cfRule type="cellIs" dxfId="310" priority="423" operator="lessThan">
      <formula>0</formula>
    </cfRule>
  </conditionalFormatting>
  <conditionalFormatting sqref="AA30:AA31">
    <cfRule type="cellIs" dxfId="309" priority="422" operator="lessThan">
      <formula>0</formula>
    </cfRule>
  </conditionalFormatting>
  <conditionalFormatting sqref="Y32:Y37">
    <cfRule type="cellIs" dxfId="308" priority="421" operator="lessThan">
      <formula>0</formula>
    </cfRule>
  </conditionalFormatting>
  <conditionalFormatting sqref="Q38:Q40">
    <cfRule type="cellIs" dxfId="307" priority="528" operator="lessThan">
      <formula>0</formula>
    </cfRule>
  </conditionalFormatting>
  <conditionalFormatting sqref="T41:T45">
    <cfRule type="cellIs" dxfId="306" priority="521" operator="lessThan">
      <formula>0</formula>
    </cfRule>
  </conditionalFormatting>
  <conditionalFormatting sqref="Q38:Q39">
    <cfRule type="cellIs" dxfId="305" priority="520" operator="lessThan">
      <formula>0</formula>
    </cfRule>
  </conditionalFormatting>
  <conditionalFormatting sqref="N38:N39">
    <cfRule type="cellIs" dxfId="304" priority="575" operator="lessThan">
      <formula>0</formula>
    </cfRule>
  </conditionalFormatting>
  <conditionalFormatting sqref="O11:O24">
    <cfRule type="cellIs" dxfId="303" priority="622" operator="lessThan">
      <formula>0</formula>
    </cfRule>
  </conditionalFormatting>
  <conditionalFormatting sqref="P11:P24">
    <cfRule type="cellIs" dxfId="302" priority="621" operator="lessThan">
      <formula>0</formula>
    </cfRule>
  </conditionalFormatting>
  <conditionalFormatting sqref="M25:M29 M46:M48">
    <cfRule type="cellIs" dxfId="301" priority="620" operator="lessThan">
      <formula>0</formula>
    </cfRule>
  </conditionalFormatting>
  <conditionalFormatting sqref="N25:N29 N46:N48">
    <cfRule type="cellIs" dxfId="300" priority="619" operator="lessThan">
      <formula>0</formula>
    </cfRule>
  </conditionalFormatting>
  <conditionalFormatting sqref="O25:O29 O46:O48">
    <cfRule type="cellIs" dxfId="299" priority="618" operator="lessThan">
      <formula>0</formula>
    </cfRule>
  </conditionalFormatting>
  <conditionalFormatting sqref="M24:M29 M46:M48">
    <cfRule type="cellIs" dxfId="298" priority="613" operator="lessThan">
      <formula>0</formula>
    </cfRule>
  </conditionalFormatting>
  <conditionalFormatting sqref="N49:N50">
    <cfRule type="cellIs" dxfId="297" priority="607" operator="lessThan">
      <formula>0</formula>
    </cfRule>
  </conditionalFormatting>
  <conditionalFormatting sqref="O49:O50">
    <cfRule type="cellIs" dxfId="296" priority="606" operator="lessThan">
      <formula>0</formula>
    </cfRule>
  </conditionalFormatting>
  <conditionalFormatting sqref="P49:P50">
    <cfRule type="cellIs" dxfId="295" priority="605" operator="lessThan">
      <formula>0</formula>
    </cfRule>
  </conditionalFormatting>
  <conditionalFormatting sqref="M49:M50">
    <cfRule type="cellIs" dxfId="294" priority="604" operator="lessThan">
      <formula>0</formula>
    </cfRule>
  </conditionalFormatting>
  <conditionalFormatting sqref="N30:N32">
    <cfRule type="cellIs" dxfId="293" priority="599" operator="lessThan">
      <formula>0</formula>
    </cfRule>
  </conditionalFormatting>
  <conditionalFormatting sqref="M30:M31">
    <cfRule type="cellIs" dxfId="292" priority="592" operator="lessThan">
      <formula>0</formula>
    </cfRule>
  </conditionalFormatting>
  <conditionalFormatting sqref="M32:M37">
    <cfRule type="cellIs" dxfId="291" priority="589" operator="lessThan">
      <formula>0</formula>
    </cfRule>
  </conditionalFormatting>
  <conditionalFormatting sqref="N32:N37">
    <cfRule type="cellIs" dxfId="290" priority="588" operator="lessThan">
      <formula>0</formula>
    </cfRule>
  </conditionalFormatting>
  <conditionalFormatting sqref="O32:O37">
    <cfRule type="cellIs" dxfId="289" priority="587" operator="lessThan">
      <formula>0</formula>
    </cfRule>
  </conditionalFormatting>
  <conditionalFormatting sqref="P30:P31">
    <cfRule type="cellIs" dxfId="288" priority="586" operator="lessThan">
      <formula>0</formula>
    </cfRule>
  </conditionalFormatting>
  <conditionalFormatting sqref="P32:P37">
    <cfRule type="cellIs" dxfId="287" priority="585" operator="lessThan">
      <formula>0</formula>
    </cfRule>
  </conditionalFormatting>
  <conditionalFormatting sqref="M38:M40">
    <cfRule type="cellIs" dxfId="286" priority="584" operator="lessThan">
      <formula>0</formula>
    </cfRule>
  </conditionalFormatting>
  <conditionalFormatting sqref="N38:N40">
    <cfRule type="cellIs" dxfId="285" priority="583" operator="lessThan">
      <formula>0</formula>
    </cfRule>
  </conditionalFormatting>
  <conditionalFormatting sqref="O38:O40">
    <cfRule type="cellIs" dxfId="284" priority="582" operator="lessThan">
      <formula>0</formula>
    </cfRule>
  </conditionalFormatting>
  <conditionalFormatting sqref="P38:P40">
    <cfRule type="cellIs" dxfId="283" priority="581" operator="lessThan">
      <formula>0</formula>
    </cfRule>
  </conditionalFormatting>
  <conditionalFormatting sqref="M41:M45">
    <cfRule type="cellIs" dxfId="282" priority="580" operator="lessThan">
      <formula>0</formula>
    </cfRule>
  </conditionalFormatting>
  <conditionalFormatting sqref="N41:N45">
    <cfRule type="cellIs" dxfId="281" priority="579" operator="lessThan">
      <formula>0</formula>
    </cfRule>
  </conditionalFormatting>
  <conditionalFormatting sqref="O41:O45">
    <cfRule type="cellIs" dxfId="280" priority="578" operator="lessThan">
      <formula>0</formula>
    </cfRule>
  </conditionalFormatting>
  <conditionalFormatting sqref="P41:P45">
    <cfRule type="cellIs" dxfId="279" priority="577" operator="lessThan">
      <formula>0</formula>
    </cfRule>
  </conditionalFormatting>
  <conditionalFormatting sqref="M38:M39">
    <cfRule type="cellIs" dxfId="278" priority="576" operator="lessThan">
      <formula>0</formula>
    </cfRule>
  </conditionalFormatting>
  <conditionalFormatting sqref="R11:R24">
    <cfRule type="cellIs" dxfId="277" priority="567" operator="lessThan">
      <formula>0</formula>
    </cfRule>
  </conditionalFormatting>
  <conditionalFormatting sqref="S11:S24">
    <cfRule type="cellIs" dxfId="276" priority="566" operator="lessThan">
      <formula>0</formula>
    </cfRule>
  </conditionalFormatting>
  <conditionalFormatting sqref="T25:T29 T46:T48">
    <cfRule type="cellIs" dxfId="275" priority="561" operator="lessThan">
      <formula>0</formula>
    </cfRule>
  </conditionalFormatting>
  <conditionalFormatting sqref="Q10:Q23">
    <cfRule type="cellIs" dxfId="274" priority="560" operator="lessThan">
      <formula>0</formula>
    </cfRule>
  </conditionalFormatting>
  <conditionalFormatting sqref="R10:R23">
    <cfRule type="cellIs" dxfId="273" priority="559" operator="lessThan">
      <formula>0</formula>
    </cfRule>
  </conditionalFormatting>
  <conditionalFormatting sqref="S10:S23">
    <cfRule type="cellIs" dxfId="272" priority="558" operator="lessThan">
      <formula>0</formula>
    </cfRule>
  </conditionalFormatting>
  <conditionalFormatting sqref="Q49:Q50">
    <cfRule type="cellIs" dxfId="271" priority="552" operator="lessThan">
      <formula>0</formula>
    </cfRule>
  </conditionalFormatting>
  <conditionalFormatting sqref="R49:R50">
    <cfRule type="cellIs" dxfId="270" priority="547" operator="lessThan">
      <formula>0</formula>
    </cfRule>
  </conditionalFormatting>
  <conditionalFormatting sqref="S49:S50">
    <cfRule type="cellIs" dxfId="269" priority="546" operator="lessThan">
      <formula>0</formula>
    </cfRule>
  </conditionalFormatting>
  <conditionalFormatting sqref="S30:S32">
    <cfRule type="cellIs" dxfId="268" priority="542" operator="lessThan">
      <formula>0</formula>
    </cfRule>
  </conditionalFormatting>
  <conditionalFormatting sqref="T30:T32">
    <cfRule type="cellIs" dxfId="267" priority="541" operator="lessThan">
      <formula>0</formula>
    </cfRule>
  </conditionalFormatting>
  <conditionalFormatting sqref="Q33:Q37">
    <cfRule type="cellIs" dxfId="266" priority="540" operator="lessThan">
      <formula>0</formula>
    </cfRule>
  </conditionalFormatting>
  <conditionalFormatting sqref="R33:R37">
    <cfRule type="cellIs" dxfId="265" priority="539" operator="lessThan">
      <formula>0</formula>
    </cfRule>
  </conditionalFormatting>
  <conditionalFormatting sqref="S33:S37">
    <cfRule type="cellIs" dxfId="264" priority="538" operator="lessThan">
      <formula>0</formula>
    </cfRule>
  </conditionalFormatting>
  <conditionalFormatting sqref="T33:T37">
    <cfRule type="cellIs" dxfId="263" priority="537" operator="lessThan">
      <formula>0</formula>
    </cfRule>
  </conditionalFormatting>
  <conditionalFormatting sqref="Q30:Q31">
    <cfRule type="cellIs" dxfId="262" priority="536" operator="lessThan">
      <formula>0</formula>
    </cfRule>
  </conditionalFormatting>
  <conditionalFormatting sqref="R30:R31">
    <cfRule type="cellIs" dxfId="261" priority="535" operator="lessThan">
      <formula>0</formula>
    </cfRule>
  </conditionalFormatting>
  <conditionalFormatting sqref="S30:S31">
    <cfRule type="cellIs" dxfId="260" priority="534" operator="lessThan">
      <formula>0</formula>
    </cfRule>
  </conditionalFormatting>
  <conditionalFormatting sqref="Q32:Q37">
    <cfRule type="cellIs" dxfId="259" priority="533" operator="lessThan">
      <formula>0</formula>
    </cfRule>
  </conditionalFormatting>
  <conditionalFormatting sqref="R32:R37">
    <cfRule type="cellIs" dxfId="258" priority="532" operator="lessThan">
      <formula>0</formula>
    </cfRule>
  </conditionalFormatting>
  <conditionalFormatting sqref="S32:S37">
    <cfRule type="cellIs" dxfId="257" priority="531" operator="lessThan">
      <formula>0</formula>
    </cfRule>
  </conditionalFormatting>
  <conditionalFormatting sqref="T30:T31">
    <cfRule type="cellIs" dxfId="256" priority="530" operator="lessThan">
      <formula>0</formula>
    </cfRule>
  </conditionalFormatting>
  <conditionalFormatting sqref="T32:T37">
    <cfRule type="cellIs" dxfId="255" priority="529" operator="lessThan">
      <formula>0</formula>
    </cfRule>
  </conditionalFormatting>
  <conditionalFormatting sqref="R38:R40">
    <cfRule type="cellIs" dxfId="254" priority="527" operator="lessThan">
      <formula>0</formula>
    </cfRule>
  </conditionalFormatting>
  <conditionalFormatting sqref="S38:S40">
    <cfRule type="cellIs" dxfId="253" priority="526" operator="lessThan">
      <formula>0</formula>
    </cfRule>
  </conditionalFormatting>
  <conditionalFormatting sqref="T38:T40">
    <cfRule type="cellIs" dxfId="252" priority="525" operator="lessThan">
      <formula>0</formula>
    </cfRule>
  </conditionalFormatting>
  <conditionalFormatting sqref="Q41:Q45">
    <cfRule type="cellIs" dxfId="251" priority="524" operator="lessThan">
      <formula>0</formula>
    </cfRule>
  </conditionalFormatting>
  <conditionalFormatting sqref="R38:R39">
    <cfRule type="cellIs" dxfId="250" priority="519" operator="lessThan">
      <formula>0</formula>
    </cfRule>
  </conditionalFormatting>
  <conditionalFormatting sqref="T38:T39">
    <cfRule type="cellIs" dxfId="249" priority="514" operator="lessThan">
      <formula>0</formula>
    </cfRule>
  </conditionalFormatting>
  <conditionalFormatting sqref="T40:T45">
    <cfRule type="cellIs" dxfId="248" priority="513" operator="lessThan">
      <formula>0</formula>
    </cfRule>
  </conditionalFormatting>
  <conditionalFormatting sqref="U11:U24">
    <cfRule type="cellIs" dxfId="247" priority="512" operator="lessThan">
      <formula>0</formula>
    </cfRule>
  </conditionalFormatting>
  <conditionalFormatting sqref="X25:X29 X46:X48">
    <cfRule type="cellIs" dxfId="246" priority="505" operator="lessThan">
      <formula>0</formula>
    </cfRule>
  </conditionalFormatting>
  <conditionalFormatting sqref="V24:V29 V46:V48">
    <cfRule type="cellIs" dxfId="245" priority="500" operator="lessThan">
      <formula>0</formula>
    </cfRule>
  </conditionalFormatting>
  <conditionalFormatting sqref="W24:W29 W46:W48">
    <cfRule type="cellIs" dxfId="244" priority="499" operator="lessThan">
      <formula>0</formula>
    </cfRule>
  </conditionalFormatting>
  <conditionalFormatting sqref="X10:X23">
    <cfRule type="cellIs" dxfId="243" priority="498" operator="lessThan">
      <formula>0</formula>
    </cfRule>
  </conditionalFormatting>
  <conditionalFormatting sqref="X24:X29 X46:X48">
    <cfRule type="cellIs" dxfId="242" priority="497" operator="lessThan">
      <formula>0</formula>
    </cfRule>
  </conditionalFormatting>
  <conditionalFormatting sqref="U49:U50">
    <cfRule type="cellIs" dxfId="241" priority="496" operator="lessThan">
      <formula>0</formula>
    </cfRule>
  </conditionalFormatting>
  <conditionalFormatting sqref="V49:V50">
    <cfRule type="cellIs" dxfId="240" priority="495" operator="lessThan">
      <formula>0</formula>
    </cfRule>
  </conditionalFormatting>
  <conditionalFormatting sqref="W49:W50">
    <cfRule type="cellIs" dxfId="239" priority="494" operator="lessThan">
      <formula>0</formula>
    </cfRule>
  </conditionalFormatting>
  <conditionalFormatting sqref="X49:X50">
    <cfRule type="cellIs" dxfId="238" priority="493" operator="lessThan">
      <formula>0</formula>
    </cfRule>
  </conditionalFormatting>
  <conditionalFormatting sqref="U49:U50">
    <cfRule type="cellIs" dxfId="237" priority="492" operator="lessThan">
      <formula>0</formula>
    </cfRule>
  </conditionalFormatting>
  <conditionalFormatting sqref="V49:V50">
    <cfRule type="cellIs" dxfId="236" priority="491" operator="lessThan">
      <formula>0</formula>
    </cfRule>
  </conditionalFormatting>
  <conditionalFormatting sqref="W49:W50">
    <cfRule type="cellIs" dxfId="235" priority="490" operator="lessThan">
      <formula>0</formula>
    </cfRule>
  </conditionalFormatting>
  <conditionalFormatting sqref="X49:X50">
    <cfRule type="cellIs" dxfId="234" priority="489" operator="lessThan">
      <formula>0</formula>
    </cfRule>
  </conditionalFormatting>
  <conditionalFormatting sqref="U30:U32">
    <cfRule type="cellIs" dxfId="233" priority="488" operator="lessThan">
      <formula>0</formula>
    </cfRule>
  </conditionalFormatting>
  <conditionalFormatting sqref="V30:V32">
    <cfRule type="cellIs" dxfId="232" priority="487" operator="lessThan">
      <formula>0</formula>
    </cfRule>
  </conditionalFormatting>
  <conditionalFormatting sqref="W30:W32">
    <cfRule type="cellIs" dxfId="231" priority="486" operator="lessThan">
      <formula>0</formula>
    </cfRule>
  </conditionalFormatting>
  <conditionalFormatting sqref="X30:X32">
    <cfRule type="cellIs" dxfId="230" priority="485" operator="lessThan">
      <formula>0</formula>
    </cfRule>
  </conditionalFormatting>
  <conditionalFormatting sqref="U33:U37">
    <cfRule type="cellIs" dxfId="229" priority="484" operator="lessThan">
      <formula>0</formula>
    </cfRule>
  </conditionalFormatting>
  <conditionalFormatting sqref="V33:V37">
    <cfRule type="cellIs" dxfId="228" priority="483" operator="lessThan">
      <formula>0</formula>
    </cfRule>
  </conditionalFormatting>
  <conditionalFormatting sqref="W33:W37">
    <cfRule type="cellIs" dxfId="227" priority="482" operator="lessThan">
      <formula>0</formula>
    </cfRule>
  </conditionalFormatting>
  <conditionalFormatting sqref="X33:X37">
    <cfRule type="cellIs" dxfId="226" priority="481" operator="lessThan">
      <formula>0</formula>
    </cfRule>
  </conditionalFormatting>
  <conditionalFormatting sqref="Y49:Y50">
    <cfRule type="cellIs" dxfId="225" priority="440" operator="lessThan">
      <formula>0</formula>
    </cfRule>
  </conditionalFormatting>
  <conditionalFormatting sqref="Z49:Z50">
    <cfRule type="cellIs" dxfId="224" priority="439" operator="lessThan">
      <formula>0</formula>
    </cfRule>
  </conditionalFormatting>
  <conditionalFormatting sqref="AA49:AA50">
    <cfRule type="cellIs" dxfId="223" priority="438" operator="lessThan">
      <formula>0</formula>
    </cfRule>
  </conditionalFormatting>
  <conditionalFormatting sqref="AB49:AB50">
    <cfRule type="cellIs" dxfId="222" priority="437" operator="lessThan">
      <formula>0</formula>
    </cfRule>
  </conditionalFormatting>
  <conditionalFormatting sqref="Y49:Y50">
    <cfRule type="cellIs" dxfId="221" priority="436" operator="lessThan">
      <formula>0</formula>
    </cfRule>
  </conditionalFormatting>
  <conditionalFormatting sqref="Z49:Z50">
    <cfRule type="cellIs" dxfId="220" priority="435" operator="lessThan">
      <formula>0</formula>
    </cfRule>
  </conditionalFormatting>
  <conditionalFormatting sqref="AA49:AA50">
    <cfRule type="cellIs" dxfId="219" priority="434" operator="lessThan">
      <formula>0</formula>
    </cfRule>
  </conditionalFormatting>
  <conditionalFormatting sqref="AB49:AB50">
    <cfRule type="cellIs" dxfId="218" priority="433" operator="lessThan">
      <formula>0</formula>
    </cfRule>
  </conditionalFormatting>
  <conditionalFormatting sqref="Y30:Y32">
    <cfRule type="cellIs" dxfId="217" priority="432" operator="lessThan">
      <formula>0</formula>
    </cfRule>
  </conditionalFormatting>
  <conditionalFormatting sqref="Z30:Z32">
    <cfRule type="cellIs" dxfId="216" priority="431" operator="lessThan">
      <formula>0</formula>
    </cfRule>
  </conditionalFormatting>
  <conditionalFormatting sqref="AA30:AA32">
    <cfRule type="cellIs" dxfId="215" priority="430" operator="lessThan">
      <formula>0</formula>
    </cfRule>
  </conditionalFormatting>
  <conditionalFormatting sqref="AB33:AB37">
    <cfRule type="cellIs" dxfId="214" priority="425" operator="lessThan">
      <formula>0</formula>
    </cfRule>
  </conditionalFormatting>
  <conditionalFormatting sqref="Z32:Z37">
    <cfRule type="cellIs" dxfId="213" priority="420" operator="lessThan">
      <formula>0</formula>
    </cfRule>
  </conditionalFormatting>
  <conditionalFormatting sqref="AA32:AA37">
    <cfRule type="cellIs" dxfId="212" priority="419" operator="lessThan">
      <formula>0</formula>
    </cfRule>
  </conditionalFormatting>
  <conditionalFormatting sqref="AB30:AB31">
    <cfRule type="cellIs" dxfId="211" priority="418" operator="lessThan">
      <formula>0</formula>
    </cfRule>
  </conditionalFormatting>
  <conditionalFormatting sqref="AB32:AB37">
    <cfRule type="cellIs" dxfId="210" priority="417" operator="lessThan">
      <formula>0</formula>
    </cfRule>
  </conditionalFormatting>
  <conditionalFormatting sqref="Y38:Y40">
    <cfRule type="cellIs" dxfId="209" priority="416" operator="lessThan">
      <formula>0</formula>
    </cfRule>
  </conditionalFormatting>
  <conditionalFormatting sqref="Z38:Z40">
    <cfRule type="cellIs" dxfId="208" priority="415" operator="lessThan">
      <formula>0</formula>
    </cfRule>
  </conditionalFormatting>
  <conditionalFormatting sqref="AA38:AA40">
    <cfRule type="cellIs" dxfId="207" priority="414" operator="lessThan">
      <formula>0</formula>
    </cfRule>
  </conditionalFormatting>
  <conditionalFormatting sqref="AB38:AB40">
    <cfRule type="cellIs" dxfId="206" priority="413" operator="lessThan">
      <formula>0</formula>
    </cfRule>
  </conditionalFormatting>
  <conditionalFormatting sqref="Y41:Y45">
    <cfRule type="cellIs" dxfId="205" priority="412" operator="lessThan">
      <formula>0</formula>
    </cfRule>
  </conditionalFormatting>
  <conditionalFormatting sqref="Z41:Z45">
    <cfRule type="cellIs" dxfId="204" priority="411" operator="lessThan">
      <formula>0</formula>
    </cfRule>
  </conditionalFormatting>
  <conditionalFormatting sqref="AA41:AA45">
    <cfRule type="cellIs" dxfId="203" priority="410" operator="lessThan">
      <formula>0</formula>
    </cfRule>
  </conditionalFormatting>
  <conditionalFormatting sqref="AB41:AB45">
    <cfRule type="cellIs" dxfId="202" priority="409" operator="lessThan">
      <formula>0</formula>
    </cfRule>
  </conditionalFormatting>
  <conditionalFormatting sqref="Y38:Y39">
    <cfRule type="cellIs" dxfId="201" priority="408" operator="lessThan">
      <formula>0</formula>
    </cfRule>
  </conditionalFormatting>
  <conditionalFormatting sqref="Z38:Z39">
    <cfRule type="cellIs" dxfId="200" priority="407" operator="lessThan">
      <formula>0</formula>
    </cfRule>
  </conditionalFormatting>
  <conditionalFormatting sqref="AA38:AA39">
    <cfRule type="cellIs" dxfId="199" priority="406" operator="lessThan">
      <formula>0</formula>
    </cfRule>
  </conditionalFormatting>
  <conditionalFormatting sqref="Y40:Y45">
    <cfRule type="cellIs" dxfId="198" priority="405" operator="lessThan">
      <formula>0</formula>
    </cfRule>
  </conditionalFormatting>
  <conditionalFormatting sqref="Z40:Z45">
    <cfRule type="cellIs" dxfId="197" priority="404" operator="lessThan">
      <formula>0</formula>
    </cfRule>
  </conditionalFormatting>
  <conditionalFormatting sqref="AA40:AA45">
    <cfRule type="cellIs" dxfId="196" priority="403" operator="lessThan">
      <formula>0</formula>
    </cfRule>
  </conditionalFormatting>
  <conditionalFormatting sqref="AB38:AB39">
    <cfRule type="cellIs" dxfId="195" priority="402" operator="lessThan">
      <formula>0</formula>
    </cfRule>
  </conditionalFormatting>
  <conditionalFormatting sqref="AB40:AB45">
    <cfRule type="cellIs" dxfId="194" priority="401" operator="lessThan">
      <formula>0</formula>
    </cfRule>
  </conditionalFormatting>
  <conditionalFormatting sqref="E51">
    <cfRule type="cellIs" dxfId="193" priority="396" operator="lessThan">
      <formula>0</formula>
    </cfRule>
  </conditionalFormatting>
  <conditionalFormatting sqref="F51">
    <cfRule type="cellIs" dxfId="192" priority="395" operator="lessThan">
      <formula>0</formula>
    </cfRule>
  </conditionalFormatting>
  <conditionalFormatting sqref="E52">
    <cfRule type="cellIs" dxfId="191" priority="354" operator="lessThan">
      <formula>0</formula>
    </cfRule>
  </conditionalFormatting>
  <conditionalFormatting sqref="F52">
    <cfRule type="cellIs" dxfId="190" priority="353" operator="lessThan">
      <formula>0</formula>
    </cfRule>
  </conditionalFormatting>
  <conditionalFormatting sqref="E53">
    <cfRule type="cellIs" dxfId="189" priority="312" operator="lessThan">
      <formula>0</formula>
    </cfRule>
  </conditionalFormatting>
  <conditionalFormatting sqref="F53">
    <cfRule type="cellIs" dxfId="188" priority="311" operator="lessThan">
      <formula>0</formula>
    </cfRule>
  </conditionalFormatting>
  <conditionalFormatting sqref="U59">
    <cfRule type="cellIs" dxfId="187" priority="206" operator="lessThan">
      <formula>0</formula>
    </cfRule>
  </conditionalFormatting>
  <conditionalFormatting sqref="S59">
    <cfRule type="cellIs" dxfId="186" priority="212" operator="lessThan">
      <formula>0</formula>
    </cfRule>
  </conditionalFormatting>
  <conditionalFormatting sqref="T59">
    <cfRule type="cellIs" dxfId="185" priority="211" operator="lessThan">
      <formula>0</formula>
    </cfRule>
  </conditionalFormatting>
  <conditionalFormatting sqref="M59">
    <cfRule type="cellIs" dxfId="184" priority="218" operator="lessThan">
      <formula>0</formula>
    </cfRule>
  </conditionalFormatting>
  <conditionalFormatting sqref="N59">
    <cfRule type="cellIs" dxfId="183" priority="217" operator="lessThan">
      <formula>0</formula>
    </cfRule>
  </conditionalFormatting>
  <conditionalFormatting sqref="V59">
    <cfRule type="cellIs" dxfId="182" priority="205" operator="lessThan">
      <formula>0</formula>
    </cfRule>
  </conditionalFormatting>
  <conditionalFormatting sqref="N59">
    <cfRule type="cellIs" dxfId="181" priority="221" operator="lessThan">
      <formula>0</formula>
    </cfRule>
  </conditionalFormatting>
  <conditionalFormatting sqref="G59">
    <cfRule type="cellIs" dxfId="180" priority="226" operator="lessThan">
      <formula>0</formula>
    </cfRule>
  </conditionalFormatting>
  <conditionalFormatting sqref="H59">
    <cfRule type="cellIs" dxfId="179" priority="225" operator="lessThan">
      <formula>0</formula>
    </cfRule>
  </conditionalFormatting>
  <conditionalFormatting sqref="M59">
    <cfRule type="cellIs" dxfId="178" priority="222" operator="lessThan">
      <formula>0</formula>
    </cfRule>
  </conditionalFormatting>
  <conditionalFormatting sqref="E54:E56">
    <cfRule type="cellIs" dxfId="177" priority="270" operator="lessThan">
      <formula>0</formula>
    </cfRule>
  </conditionalFormatting>
  <conditionalFormatting sqref="F54">
    <cfRule type="cellIs" dxfId="176" priority="269" operator="lessThan">
      <formula>0</formula>
    </cfRule>
  </conditionalFormatting>
  <conditionalFormatting sqref="K53">
    <cfRule type="cellIs" dxfId="175" priority="170" operator="lessThan">
      <formula>0</formula>
    </cfRule>
  </conditionalFormatting>
  <conditionalFormatting sqref="L53">
    <cfRule type="cellIs" dxfId="174" priority="169" operator="lessThan">
      <formula>0</formula>
    </cfRule>
  </conditionalFormatting>
  <conditionalFormatting sqref="X59">
    <cfRule type="cellIs" dxfId="173" priority="199" operator="lessThan">
      <formula>0</formula>
    </cfRule>
  </conditionalFormatting>
  <conditionalFormatting sqref="AA59">
    <cfRule type="cellIs" dxfId="172" priority="196" operator="lessThan">
      <formula>0</formula>
    </cfRule>
  </conditionalFormatting>
  <conditionalFormatting sqref="Y59">
    <cfRule type="cellIs" dxfId="171" priority="194" operator="lessThan">
      <formula>0</formula>
    </cfRule>
  </conditionalFormatting>
  <conditionalFormatting sqref="V59">
    <cfRule type="cellIs" dxfId="170" priority="201" operator="lessThan">
      <formula>0</formula>
    </cfRule>
  </conditionalFormatting>
  <conditionalFormatting sqref="G54">
    <cfRule type="cellIs" dxfId="169" priority="184" operator="lessThan">
      <formula>0</formula>
    </cfRule>
  </conditionalFormatting>
  <conditionalFormatting sqref="Z59">
    <cfRule type="cellIs" dxfId="168" priority="193" operator="lessThan">
      <formula>0</formula>
    </cfRule>
  </conditionalFormatting>
  <conditionalFormatting sqref="H54">
    <cfRule type="cellIs" dxfId="167" priority="183" operator="lessThan">
      <formula>0</formula>
    </cfRule>
  </conditionalFormatting>
  <conditionalFormatting sqref="Y59">
    <cfRule type="cellIs" dxfId="166" priority="198" operator="lessThan">
      <formula>0</formula>
    </cfRule>
  </conditionalFormatting>
  <conditionalFormatting sqref="Z59">
    <cfRule type="cellIs" dxfId="165" priority="197" operator="lessThan">
      <formula>0</formula>
    </cfRule>
  </conditionalFormatting>
  <conditionalFormatting sqref="W59">
    <cfRule type="cellIs" dxfId="164" priority="200" operator="lessThan">
      <formula>0</formula>
    </cfRule>
  </conditionalFormatting>
  <conditionalFormatting sqref="AB59">
    <cfRule type="cellIs" dxfId="163" priority="195" operator="lessThan">
      <formula>0</formula>
    </cfRule>
  </conditionalFormatting>
  <conditionalFormatting sqref="U59">
    <cfRule type="cellIs" dxfId="162" priority="202" operator="lessThan">
      <formula>0</formula>
    </cfRule>
  </conditionalFormatting>
  <conditionalFormatting sqref="S59">
    <cfRule type="cellIs" dxfId="161" priority="208" operator="lessThan">
      <formula>0</formula>
    </cfRule>
  </conditionalFormatting>
  <conditionalFormatting sqref="T59">
    <cfRule type="cellIs" dxfId="160" priority="207" operator="lessThan">
      <formula>0</formula>
    </cfRule>
  </conditionalFormatting>
  <conditionalFormatting sqref="Q59">
    <cfRule type="cellIs" dxfId="159" priority="214" operator="lessThan">
      <formula>0</formula>
    </cfRule>
  </conditionalFormatting>
  <conditionalFormatting sqref="R59">
    <cfRule type="cellIs" dxfId="158" priority="213" operator="lessThan">
      <formula>0</formula>
    </cfRule>
  </conditionalFormatting>
  <conditionalFormatting sqref="W59">
    <cfRule type="cellIs" dxfId="157" priority="204" operator="lessThan">
      <formula>0</formula>
    </cfRule>
  </conditionalFormatting>
  <conditionalFormatting sqref="X59">
    <cfRule type="cellIs" dxfId="156" priority="203" operator="lessThan">
      <formula>0</formula>
    </cfRule>
  </conditionalFormatting>
  <conditionalFormatting sqref="Q59">
    <cfRule type="cellIs" dxfId="155" priority="210" operator="lessThan">
      <formula>0</formula>
    </cfRule>
  </conditionalFormatting>
  <conditionalFormatting sqref="R59">
    <cfRule type="cellIs" dxfId="154" priority="209" operator="lessThan">
      <formula>0</formula>
    </cfRule>
  </conditionalFormatting>
  <conditionalFormatting sqref="O59">
    <cfRule type="cellIs" dxfId="153" priority="216" operator="lessThan">
      <formula>0</formula>
    </cfRule>
  </conditionalFormatting>
  <conditionalFormatting sqref="P59">
    <cfRule type="cellIs" dxfId="152" priority="215" operator="lessThan">
      <formula>0</formula>
    </cfRule>
  </conditionalFormatting>
  <conditionalFormatting sqref="E59">
    <cfRule type="cellIs" dxfId="151" priority="228" operator="lessThan">
      <formula>0</formula>
    </cfRule>
  </conditionalFormatting>
  <conditionalFormatting sqref="F59">
    <cfRule type="cellIs" dxfId="150" priority="227" operator="lessThan">
      <formula>0</formula>
    </cfRule>
  </conditionalFormatting>
  <conditionalFormatting sqref="G59">
    <cfRule type="cellIs" dxfId="149" priority="232" operator="lessThan">
      <formula>0</formula>
    </cfRule>
  </conditionalFormatting>
  <conditionalFormatting sqref="H59">
    <cfRule type="cellIs" dxfId="148" priority="231" operator="lessThan">
      <formula>0</formula>
    </cfRule>
  </conditionalFormatting>
  <conditionalFormatting sqref="K59">
    <cfRule type="cellIs" dxfId="147" priority="230" operator="lessThan">
      <formula>0</formula>
    </cfRule>
  </conditionalFormatting>
  <conditionalFormatting sqref="L59">
    <cfRule type="cellIs" dxfId="146" priority="229" operator="lessThan">
      <formula>0</formula>
    </cfRule>
  </conditionalFormatting>
  <conditionalFormatting sqref="K59">
    <cfRule type="cellIs" dxfId="145" priority="224" operator="lessThan">
      <formula>0</formula>
    </cfRule>
  </conditionalFormatting>
  <conditionalFormatting sqref="L59">
    <cfRule type="cellIs" dxfId="144" priority="223" operator="lessThan">
      <formula>0</formula>
    </cfRule>
  </conditionalFormatting>
  <conditionalFormatting sqref="O59">
    <cfRule type="cellIs" dxfId="143" priority="220" operator="lessThan">
      <formula>0</formula>
    </cfRule>
  </conditionalFormatting>
  <conditionalFormatting sqref="P59">
    <cfRule type="cellIs" dxfId="142" priority="219" operator="lessThan">
      <formula>0</formula>
    </cfRule>
  </conditionalFormatting>
  <conditionalFormatting sqref="AA59">
    <cfRule type="cellIs" dxfId="141" priority="192" operator="lessThan">
      <formula>0</formula>
    </cfRule>
  </conditionalFormatting>
  <conditionalFormatting sqref="AB59">
    <cfRule type="cellIs" dxfId="140" priority="191" operator="lessThan">
      <formula>0</formula>
    </cfRule>
  </conditionalFormatting>
  <conditionalFormatting sqref="G51">
    <cfRule type="cellIs" dxfId="139" priority="190" operator="lessThan">
      <formula>0</formula>
    </cfRule>
  </conditionalFormatting>
  <conditionalFormatting sqref="H51">
    <cfRule type="cellIs" dxfId="138" priority="189" operator="lessThan">
      <formula>0</formula>
    </cfRule>
  </conditionalFormatting>
  <conditionalFormatting sqref="G52">
    <cfRule type="cellIs" dxfId="137" priority="188" operator="lessThan">
      <formula>0</formula>
    </cfRule>
  </conditionalFormatting>
  <conditionalFormatting sqref="H52">
    <cfRule type="cellIs" dxfId="136" priority="187" operator="lessThan">
      <formula>0</formula>
    </cfRule>
  </conditionalFormatting>
  <conditionalFormatting sqref="G53">
    <cfRule type="cellIs" dxfId="135" priority="186" operator="lessThan">
      <formula>0</formula>
    </cfRule>
  </conditionalFormatting>
  <conditionalFormatting sqref="H53">
    <cfRule type="cellIs" dxfId="134" priority="185" operator="lessThan">
      <formula>0</formula>
    </cfRule>
  </conditionalFormatting>
  <conditionalFormatting sqref="AA51">
    <cfRule type="cellIs" dxfId="133" priority="94" operator="lessThan">
      <formula>0</formula>
    </cfRule>
  </conditionalFormatting>
  <conditionalFormatting sqref="AB51">
    <cfRule type="cellIs" dxfId="132" priority="93" operator="lessThan">
      <formula>0</formula>
    </cfRule>
  </conditionalFormatting>
  <conditionalFormatting sqref="AA52">
    <cfRule type="cellIs" dxfId="131" priority="92" operator="lessThan">
      <formula>0</formula>
    </cfRule>
  </conditionalFormatting>
  <conditionalFormatting sqref="AB52">
    <cfRule type="cellIs" dxfId="130" priority="91" operator="lessThan">
      <formula>0</formula>
    </cfRule>
  </conditionalFormatting>
  <conditionalFormatting sqref="AA53">
    <cfRule type="cellIs" dxfId="129" priority="90" operator="lessThan">
      <formula>0</formula>
    </cfRule>
  </conditionalFormatting>
  <conditionalFormatting sqref="AB53">
    <cfRule type="cellIs" dxfId="128" priority="89" operator="lessThan">
      <formula>0</formula>
    </cfRule>
  </conditionalFormatting>
  <conditionalFormatting sqref="AA54">
    <cfRule type="cellIs" dxfId="127" priority="88" operator="lessThan">
      <formula>0</formula>
    </cfRule>
  </conditionalFormatting>
  <conditionalFormatting sqref="AB54">
    <cfRule type="cellIs" dxfId="126" priority="87" operator="lessThan">
      <formula>0</formula>
    </cfRule>
  </conditionalFormatting>
  <conditionalFormatting sqref="K51">
    <cfRule type="cellIs" dxfId="125" priority="174" operator="lessThan">
      <formula>0</formula>
    </cfRule>
  </conditionalFormatting>
  <conditionalFormatting sqref="L51">
    <cfRule type="cellIs" dxfId="124" priority="173" operator="lessThan">
      <formula>0</formula>
    </cfRule>
  </conditionalFormatting>
  <conditionalFormatting sqref="K52">
    <cfRule type="cellIs" dxfId="123" priority="172" operator="lessThan">
      <formula>0</formula>
    </cfRule>
  </conditionalFormatting>
  <conditionalFormatting sqref="L52">
    <cfRule type="cellIs" dxfId="122" priority="171" operator="lessThan">
      <formula>0</formula>
    </cfRule>
  </conditionalFormatting>
  <conditionalFormatting sqref="K54">
    <cfRule type="cellIs" dxfId="121" priority="168" operator="lessThan">
      <formula>0</formula>
    </cfRule>
  </conditionalFormatting>
  <conditionalFormatting sqref="L54">
    <cfRule type="cellIs" dxfId="120" priority="167" operator="lessThan">
      <formula>0</formula>
    </cfRule>
  </conditionalFormatting>
  <conditionalFormatting sqref="M51">
    <cfRule type="cellIs" dxfId="119" priority="158" operator="lessThan">
      <formula>0</formula>
    </cfRule>
  </conditionalFormatting>
  <conditionalFormatting sqref="N51">
    <cfRule type="cellIs" dxfId="118" priority="157" operator="lessThan">
      <formula>0</formula>
    </cfRule>
  </conditionalFormatting>
  <conditionalFormatting sqref="M52">
    <cfRule type="cellIs" dxfId="117" priority="156" operator="lessThan">
      <formula>0</formula>
    </cfRule>
  </conditionalFormatting>
  <conditionalFormatting sqref="N52">
    <cfRule type="cellIs" dxfId="116" priority="155" operator="lessThan">
      <formula>0</formula>
    </cfRule>
  </conditionalFormatting>
  <conditionalFormatting sqref="M53">
    <cfRule type="cellIs" dxfId="115" priority="154" operator="lessThan">
      <formula>0</formula>
    </cfRule>
  </conditionalFormatting>
  <conditionalFormatting sqref="N53">
    <cfRule type="cellIs" dxfId="114" priority="153" operator="lessThan">
      <formula>0</formula>
    </cfRule>
  </conditionalFormatting>
  <conditionalFormatting sqref="M54">
    <cfRule type="cellIs" dxfId="113" priority="152" operator="lessThan">
      <formula>0</formula>
    </cfRule>
  </conditionalFormatting>
  <conditionalFormatting sqref="N54">
    <cfRule type="cellIs" dxfId="112" priority="151" operator="lessThan">
      <formula>0</formula>
    </cfRule>
  </conditionalFormatting>
  <conditionalFormatting sqref="O51">
    <cfRule type="cellIs" dxfId="111" priority="150" operator="lessThan">
      <formula>0</formula>
    </cfRule>
  </conditionalFormatting>
  <conditionalFormatting sqref="P51">
    <cfRule type="cellIs" dxfId="110" priority="149" operator="lessThan">
      <formula>0</formula>
    </cfRule>
  </conditionalFormatting>
  <conditionalFormatting sqref="O52">
    <cfRule type="cellIs" dxfId="109" priority="148" operator="lessThan">
      <formula>0</formula>
    </cfRule>
  </conditionalFormatting>
  <conditionalFormatting sqref="P52">
    <cfRule type="cellIs" dxfId="108" priority="147" operator="lessThan">
      <formula>0</formula>
    </cfRule>
  </conditionalFormatting>
  <conditionalFormatting sqref="O53">
    <cfRule type="cellIs" dxfId="107" priority="146" operator="lessThan">
      <formula>0</formula>
    </cfRule>
  </conditionalFormatting>
  <conditionalFormatting sqref="P53">
    <cfRule type="cellIs" dxfId="106" priority="145" operator="lessThan">
      <formula>0</formula>
    </cfRule>
  </conditionalFormatting>
  <conditionalFormatting sqref="O54">
    <cfRule type="cellIs" dxfId="105" priority="144" operator="lessThan">
      <formula>0</formula>
    </cfRule>
  </conditionalFormatting>
  <conditionalFormatting sqref="P54">
    <cfRule type="cellIs" dxfId="104" priority="143" operator="lessThan">
      <formula>0</formula>
    </cfRule>
  </conditionalFormatting>
  <conditionalFormatting sqref="Q51">
    <cfRule type="cellIs" dxfId="103" priority="142" operator="lessThan">
      <formula>0</formula>
    </cfRule>
  </conditionalFormatting>
  <conditionalFormatting sqref="R51">
    <cfRule type="cellIs" dxfId="102" priority="141" operator="lessThan">
      <formula>0</formula>
    </cfRule>
  </conditionalFormatting>
  <conditionalFormatting sqref="Q52">
    <cfRule type="cellIs" dxfId="101" priority="140" operator="lessThan">
      <formula>0</formula>
    </cfRule>
  </conditionalFormatting>
  <conditionalFormatting sqref="R52">
    <cfRule type="cellIs" dxfId="100" priority="139" operator="lessThan">
      <formula>0</formula>
    </cfRule>
  </conditionalFormatting>
  <conditionalFormatting sqref="Q53">
    <cfRule type="cellIs" dxfId="99" priority="138" operator="lessThan">
      <formula>0</formula>
    </cfRule>
  </conditionalFormatting>
  <conditionalFormatting sqref="R53">
    <cfRule type="cellIs" dxfId="98" priority="137" operator="lessThan">
      <formula>0</formula>
    </cfRule>
  </conditionalFormatting>
  <conditionalFormatting sqref="Q54">
    <cfRule type="cellIs" dxfId="97" priority="136" operator="lessThan">
      <formula>0</formula>
    </cfRule>
  </conditionalFormatting>
  <conditionalFormatting sqref="R54">
    <cfRule type="cellIs" dxfId="96" priority="135" operator="lessThan">
      <formula>0</formula>
    </cfRule>
  </conditionalFormatting>
  <conditionalFormatting sqref="S51">
    <cfRule type="cellIs" dxfId="95" priority="134" operator="lessThan">
      <formula>0</formula>
    </cfRule>
  </conditionalFormatting>
  <conditionalFormatting sqref="T51">
    <cfRule type="cellIs" dxfId="94" priority="133" operator="lessThan">
      <formula>0</formula>
    </cfRule>
  </conditionalFormatting>
  <conditionalFormatting sqref="S52">
    <cfRule type="cellIs" dxfId="93" priority="132" operator="lessThan">
      <formula>0</formula>
    </cfRule>
  </conditionalFormatting>
  <conditionalFormatting sqref="T52">
    <cfRule type="cellIs" dxfId="92" priority="131" operator="lessThan">
      <formula>0</formula>
    </cfRule>
  </conditionalFormatting>
  <conditionalFormatting sqref="S53">
    <cfRule type="cellIs" dxfId="91" priority="130" operator="lessThan">
      <formula>0</formula>
    </cfRule>
  </conditionalFormatting>
  <conditionalFormatting sqref="T53">
    <cfRule type="cellIs" dxfId="90" priority="129" operator="lessThan">
      <formula>0</formula>
    </cfRule>
  </conditionalFormatting>
  <conditionalFormatting sqref="S54">
    <cfRule type="cellIs" dxfId="89" priority="128" operator="lessThan">
      <formula>0</formula>
    </cfRule>
  </conditionalFormatting>
  <conditionalFormatting sqref="T54">
    <cfRule type="cellIs" dxfId="88" priority="127" operator="lessThan">
      <formula>0</formula>
    </cfRule>
  </conditionalFormatting>
  <conditionalFormatting sqref="U51">
    <cfRule type="cellIs" dxfId="87" priority="126" operator="lessThan">
      <formula>0</formula>
    </cfRule>
  </conditionalFormatting>
  <conditionalFormatting sqref="V51">
    <cfRule type="cellIs" dxfId="86" priority="125" operator="lessThan">
      <formula>0</formula>
    </cfRule>
  </conditionalFormatting>
  <conditionalFormatting sqref="U52">
    <cfRule type="cellIs" dxfId="85" priority="124" operator="lessThan">
      <formula>0</formula>
    </cfRule>
  </conditionalFormatting>
  <conditionalFormatting sqref="V52">
    <cfRule type="cellIs" dxfId="84" priority="123" operator="lessThan">
      <formula>0</formula>
    </cfRule>
  </conditionalFormatting>
  <conditionalFormatting sqref="U53">
    <cfRule type="cellIs" dxfId="83" priority="122" operator="lessThan">
      <formula>0</formula>
    </cfRule>
  </conditionalFormatting>
  <conditionalFormatting sqref="V53">
    <cfRule type="cellIs" dxfId="82" priority="121" operator="lessThan">
      <formula>0</formula>
    </cfRule>
  </conditionalFormatting>
  <conditionalFormatting sqref="U54">
    <cfRule type="cellIs" dxfId="81" priority="120" operator="lessThan">
      <formula>0</formula>
    </cfRule>
  </conditionalFormatting>
  <conditionalFormatting sqref="V54">
    <cfRule type="cellIs" dxfId="80" priority="119" operator="lessThan">
      <formula>0</formula>
    </cfRule>
  </conditionalFormatting>
  <conditionalFormatting sqref="W51">
    <cfRule type="cellIs" dxfId="79" priority="118" operator="lessThan">
      <formula>0</formula>
    </cfRule>
  </conditionalFormatting>
  <conditionalFormatting sqref="X51">
    <cfRule type="cellIs" dxfId="78" priority="117" operator="lessThan">
      <formula>0</formula>
    </cfRule>
  </conditionalFormatting>
  <conditionalFormatting sqref="W52">
    <cfRule type="cellIs" dxfId="77" priority="116" operator="lessThan">
      <formula>0</formula>
    </cfRule>
  </conditionalFormatting>
  <conditionalFormatting sqref="X52">
    <cfRule type="cellIs" dxfId="76" priority="115" operator="lessThan">
      <formula>0</formula>
    </cfRule>
  </conditionalFormatting>
  <conditionalFormatting sqref="W53">
    <cfRule type="cellIs" dxfId="75" priority="114" operator="lessThan">
      <formula>0</formula>
    </cfRule>
  </conditionalFormatting>
  <conditionalFormatting sqref="X53">
    <cfRule type="cellIs" dxfId="74" priority="113" operator="lessThan">
      <formula>0</formula>
    </cfRule>
  </conditionalFormatting>
  <conditionalFormatting sqref="W54">
    <cfRule type="cellIs" dxfId="73" priority="112" operator="lessThan">
      <formula>0</formula>
    </cfRule>
  </conditionalFormatting>
  <conditionalFormatting sqref="X54">
    <cfRule type="cellIs" dxfId="72" priority="111" operator="lessThan">
      <formula>0</formula>
    </cfRule>
  </conditionalFormatting>
  <conditionalFormatting sqref="Y51">
    <cfRule type="cellIs" dxfId="71" priority="110" operator="lessThan">
      <formula>0</formula>
    </cfRule>
  </conditionalFormatting>
  <conditionalFormatting sqref="Z51">
    <cfRule type="cellIs" dxfId="70" priority="109" operator="lessThan">
      <formula>0</formula>
    </cfRule>
  </conditionalFormatting>
  <conditionalFormatting sqref="Y52">
    <cfRule type="cellIs" dxfId="69" priority="108" operator="lessThan">
      <formula>0</formula>
    </cfRule>
  </conditionalFormatting>
  <conditionalFormatting sqref="Z52">
    <cfRule type="cellIs" dxfId="68" priority="107" operator="lessThan">
      <formula>0</formula>
    </cfRule>
  </conditionalFormatting>
  <conditionalFormatting sqref="Y53">
    <cfRule type="cellIs" dxfId="67" priority="106" operator="lessThan">
      <formula>0</formula>
    </cfRule>
  </conditionalFormatting>
  <conditionalFormatting sqref="Z53">
    <cfRule type="cellIs" dxfId="66" priority="105" operator="lessThan">
      <formula>0</formula>
    </cfRule>
  </conditionalFormatting>
  <conditionalFormatting sqref="Y54">
    <cfRule type="cellIs" dxfId="65" priority="104" operator="lessThan">
      <formula>0</formula>
    </cfRule>
  </conditionalFormatting>
  <conditionalFormatting sqref="Z54">
    <cfRule type="cellIs" dxfId="64" priority="103" operator="lessThan">
      <formula>0</formula>
    </cfRule>
  </conditionalFormatting>
  <conditionalFormatting sqref="I11:I24">
    <cfRule type="cellIs" dxfId="63" priority="86" operator="lessThan">
      <formula>0</formula>
    </cfRule>
  </conditionalFormatting>
  <conditionalFormatting sqref="J11:J24">
    <cfRule type="cellIs" dxfId="62" priority="85" operator="lessThan">
      <formula>0</formula>
    </cfRule>
  </conditionalFormatting>
  <conditionalFormatting sqref="I25:I29 I46:I48">
    <cfRule type="cellIs" dxfId="61" priority="84" operator="lessThan">
      <formula>0</formula>
    </cfRule>
  </conditionalFormatting>
  <conditionalFormatting sqref="J25:J29 J46:J48">
    <cfRule type="cellIs" dxfId="60" priority="83" operator="lessThan">
      <formula>0</formula>
    </cfRule>
  </conditionalFormatting>
  <conditionalFormatting sqref="I38:I40">
    <cfRule type="cellIs" dxfId="59" priority="66" operator="lessThan">
      <formula>0</formula>
    </cfRule>
  </conditionalFormatting>
  <conditionalFormatting sqref="J38:J40">
    <cfRule type="cellIs" dxfId="58" priority="65" operator="lessThan">
      <formula>0</formula>
    </cfRule>
  </conditionalFormatting>
  <conditionalFormatting sqref="I49:I50">
    <cfRule type="cellIs" dxfId="57" priority="76" operator="lessThan">
      <formula>0</formula>
    </cfRule>
  </conditionalFormatting>
  <conditionalFormatting sqref="I10:I23">
    <cfRule type="cellIs" dxfId="56" priority="82" operator="lessThan">
      <formula>0</formula>
    </cfRule>
  </conditionalFormatting>
  <conditionalFormatting sqref="J10:J23">
    <cfRule type="cellIs" dxfId="55" priority="81" operator="lessThan">
      <formula>0</formula>
    </cfRule>
  </conditionalFormatting>
  <conditionalFormatting sqref="I24:I29 I46:I48">
    <cfRule type="cellIs" dxfId="54" priority="80" operator="lessThan">
      <formula>0</formula>
    </cfRule>
  </conditionalFormatting>
  <conditionalFormatting sqref="J24:J29 J46:J48">
    <cfRule type="cellIs" dxfId="53" priority="79" operator="lessThan">
      <formula>0</formula>
    </cfRule>
  </conditionalFormatting>
  <conditionalFormatting sqref="I38:I39">
    <cfRule type="cellIs" dxfId="52" priority="62" operator="lessThan">
      <formula>0</formula>
    </cfRule>
  </conditionalFormatting>
  <conditionalFormatting sqref="J38:J39">
    <cfRule type="cellIs" dxfId="51" priority="61" operator="lessThan">
      <formula>0</formula>
    </cfRule>
  </conditionalFormatting>
  <conditionalFormatting sqref="I49:I50">
    <cfRule type="cellIs" dxfId="50" priority="78" operator="lessThan">
      <formula>0</formula>
    </cfRule>
  </conditionalFormatting>
  <conditionalFormatting sqref="J49:J50">
    <cfRule type="cellIs" dxfId="49" priority="77" operator="lessThan">
      <formula>0</formula>
    </cfRule>
  </conditionalFormatting>
  <conditionalFormatting sqref="I41:I45">
    <cfRule type="cellIs" dxfId="48" priority="64" operator="lessThan">
      <formula>0</formula>
    </cfRule>
  </conditionalFormatting>
  <conditionalFormatting sqref="J41:J45">
    <cfRule type="cellIs" dxfId="47" priority="63" operator="lessThan">
      <formula>0</formula>
    </cfRule>
  </conditionalFormatting>
  <conditionalFormatting sqref="J49:J50">
    <cfRule type="cellIs" dxfId="46" priority="75" operator="lessThan">
      <formula>0</formula>
    </cfRule>
  </conditionalFormatting>
  <conditionalFormatting sqref="I30:I32">
    <cfRule type="cellIs" dxfId="45" priority="74" operator="lessThan">
      <formula>0</formula>
    </cfRule>
  </conditionalFormatting>
  <conditionalFormatting sqref="J30:J32">
    <cfRule type="cellIs" dxfId="44" priority="73" operator="lessThan">
      <formula>0</formula>
    </cfRule>
  </conditionalFormatting>
  <conditionalFormatting sqref="I33:I37">
    <cfRule type="cellIs" dxfId="43" priority="72" operator="lessThan">
      <formula>0</formula>
    </cfRule>
  </conditionalFormatting>
  <conditionalFormatting sqref="J33:J37">
    <cfRule type="cellIs" dxfId="42" priority="71" operator="lessThan">
      <formula>0</formula>
    </cfRule>
  </conditionalFormatting>
  <conditionalFormatting sqref="I30:I31">
    <cfRule type="cellIs" dxfId="41" priority="70" operator="lessThan">
      <formula>0</formula>
    </cfRule>
  </conditionalFormatting>
  <conditionalFormatting sqref="J30:J31">
    <cfRule type="cellIs" dxfId="40" priority="69" operator="lessThan">
      <formula>0</formula>
    </cfRule>
  </conditionalFormatting>
  <conditionalFormatting sqref="I32:I37">
    <cfRule type="cellIs" dxfId="39" priority="68" operator="lessThan">
      <formula>0</formula>
    </cfRule>
  </conditionalFormatting>
  <conditionalFormatting sqref="J32:J37">
    <cfRule type="cellIs" dxfId="38" priority="67" operator="lessThan">
      <formula>0</formula>
    </cfRule>
  </conditionalFormatting>
  <conditionalFormatting sqref="I40:I45">
    <cfRule type="cellIs" dxfId="37" priority="60" operator="lessThan">
      <formula>0</formula>
    </cfRule>
  </conditionalFormatting>
  <conditionalFormatting sqref="J40:J45">
    <cfRule type="cellIs" dxfId="36" priority="59" operator="lessThan">
      <formula>0</formula>
    </cfRule>
  </conditionalFormatting>
  <conditionalFormatting sqref="I59">
    <cfRule type="cellIs" dxfId="35" priority="56" operator="lessThan">
      <formula>0</formula>
    </cfRule>
  </conditionalFormatting>
  <conditionalFormatting sqref="J59">
    <cfRule type="cellIs" dxfId="34" priority="55" operator="lessThan">
      <formula>0</formula>
    </cfRule>
  </conditionalFormatting>
  <conditionalFormatting sqref="I54">
    <cfRule type="cellIs" dxfId="33" priority="48" operator="lessThan">
      <formula>0</formula>
    </cfRule>
  </conditionalFormatting>
  <conditionalFormatting sqref="J54">
    <cfRule type="cellIs" dxfId="32" priority="47" operator="lessThan">
      <formula>0</formula>
    </cfRule>
  </conditionalFormatting>
  <conditionalFormatting sqref="I59">
    <cfRule type="cellIs" dxfId="31" priority="58" operator="lessThan">
      <formula>0</formula>
    </cfRule>
  </conditionalFormatting>
  <conditionalFormatting sqref="J59">
    <cfRule type="cellIs" dxfId="30" priority="57" operator="lessThan">
      <formula>0</formula>
    </cfRule>
  </conditionalFormatting>
  <conditionalFormatting sqref="I51">
    <cfRule type="cellIs" dxfId="29" priority="54" operator="lessThan">
      <formula>0</formula>
    </cfRule>
  </conditionalFormatting>
  <conditionalFormatting sqref="J51">
    <cfRule type="cellIs" dxfId="28" priority="53" operator="lessThan">
      <formula>0</formula>
    </cfRule>
  </conditionalFormatting>
  <conditionalFormatting sqref="I52">
    <cfRule type="cellIs" dxfId="27" priority="52" operator="lessThan">
      <formula>0</formula>
    </cfRule>
  </conditionalFormatting>
  <conditionalFormatting sqref="J52">
    <cfRule type="cellIs" dxfId="26" priority="51" operator="lessThan">
      <formula>0</formula>
    </cfRule>
  </conditionalFormatting>
  <conditionalFormatting sqref="I53">
    <cfRule type="cellIs" dxfId="25" priority="50" operator="lessThan">
      <formula>0</formula>
    </cfRule>
  </conditionalFormatting>
  <conditionalFormatting sqref="J53">
    <cfRule type="cellIs" dxfId="24" priority="49" operator="lessThan">
      <formula>0</formula>
    </cfRule>
  </conditionalFormatting>
  <conditionalFormatting sqref="H55">
    <cfRule type="cellIs" dxfId="23" priority="46" operator="lessThan">
      <formula>0</formula>
    </cfRule>
  </conditionalFormatting>
  <conditionalFormatting sqref="G55">
    <cfRule type="cellIs" dxfId="22" priority="45" operator="lessThan">
      <formula>0</formula>
    </cfRule>
  </conditionalFormatting>
  <conditionalFormatting sqref="J55">
    <cfRule type="cellIs" dxfId="21" priority="44" operator="lessThan">
      <formula>0</formula>
    </cfRule>
  </conditionalFormatting>
  <conditionalFormatting sqref="I55">
    <cfRule type="cellIs" dxfId="20" priority="43" operator="lessThan">
      <formula>0</formula>
    </cfRule>
  </conditionalFormatting>
  <conditionalFormatting sqref="L55">
    <cfRule type="cellIs" dxfId="19" priority="42" operator="lessThan">
      <formula>0</formula>
    </cfRule>
  </conditionalFormatting>
  <conditionalFormatting sqref="K55">
    <cfRule type="cellIs" dxfId="18" priority="41" operator="lessThan">
      <formula>0</formula>
    </cfRule>
  </conditionalFormatting>
  <conditionalFormatting sqref="N55">
    <cfRule type="cellIs" dxfId="17" priority="40" operator="lessThan">
      <formula>0</formula>
    </cfRule>
  </conditionalFormatting>
  <conditionalFormatting sqref="M55">
    <cfRule type="cellIs" dxfId="16" priority="39" operator="lessThan">
      <formula>0</formula>
    </cfRule>
  </conditionalFormatting>
  <conditionalFormatting sqref="P55">
    <cfRule type="cellIs" dxfId="15" priority="38" operator="lessThan">
      <formula>0</formula>
    </cfRule>
  </conditionalFormatting>
  <conditionalFormatting sqref="O55">
    <cfRule type="cellIs" dxfId="14" priority="37" operator="lessThan">
      <formula>0</formula>
    </cfRule>
  </conditionalFormatting>
  <conditionalFormatting sqref="R55">
    <cfRule type="cellIs" dxfId="13" priority="36" operator="lessThan">
      <formula>0</formula>
    </cfRule>
  </conditionalFormatting>
  <conditionalFormatting sqref="Q55">
    <cfRule type="cellIs" dxfId="12" priority="35" operator="lessThan">
      <formula>0</formula>
    </cfRule>
  </conditionalFormatting>
  <conditionalFormatting sqref="T55">
    <cfRule type="cellIs" dxfId="11" priority="34" operator="lessThan">
      <formula>0</formula>
    </cfRule>
  </conditionalFormatting>
  <conditionalFormatting sqref="S55">
    <cfRule type="cellIs" dxfId="10" priority="33" operator="lessThan">
      <formula>0</formula>
    </cfRule>
  </conditionalFormatting>
  <conditionalFormatting sqref="V55">
    <cfRule type="cellIs" dxfId="9" priority="32" operator="lessThan">
      <formula>0</formula>
    </cfRule>
  </conditionalFormatting>
  <conditionalFormatting sqref="U55">
    <cfRule type="cellIs" dxfId="8" priority="31" operator="lessThan">
      <formula>0</formula>
    </cfRule>
  </conditionalFormatting>
  <conditionalFormatting sqref="X55">
    <cfRule type="cellIs" dxfId="7" priority="30" operator="lessThan">
      <formula>0</formula>
    </cfRule>
  </conditionalFormatting>
  <conditionalFormatting sqref="W55">
    <cfRule type="cellIs" dxfId="6" priority="29" operator="lessThan">
      <formula>0</formula>
    </cfRule>
  </conditionalFormatting>
  <conditionalFormatting sqref="Z55">
    <cfRule type="cellIs" dxfId="5" priority="28" operator="lessThan">
      <formula>0</formula>
    </cfRule>
  </conditionalFormatting>
  <conditionalFormatting sqref="Y55">
    <cfRule type="cellIs" dxfId="4" priority="27" operator="lessThan">
      <formula>0</formula>
    </cfRule>
  </conditionalFormatting>
  <conditionalFormatting sqref="AB55">
    <cfRule type="cellIs" dxfId="3" priority="26" operator="lessThan">
      <formula>0</formula>
    </cfRule>
  </conditionalFormatting>
  <conditionalFormatting sqref="AA55">
    <cfRule type="cellIs" dxfId="2" priority="25" operator="lessThan">
      <formula>0</formula>
    </cfRule>
  </conditionalFormatting>
  <conditionalFormatting sqref="H56 J56 L56 N56 P56 R56 T56 V56 X56 Z56 AB56">
    <cfRule type="cellIs" dxfId="1" priority="2" operator="lessThan">
      <formula>0</formula>
    </cfRule>
  </conditionalFormatting>
  <conditionalFormatting sqref="G56 I56 K56 M56 O56 Q56 S56 U56 W56 Y56 AA56">
    <cfRule type="cellIs" dxfId="0" priority="1" operator="lessThan">
      <formula>0</formula>
    </cfRule>
  </conditionalFormatting>
  <printOptions horizontalCentered="1"/>
  <pageMargins left="0" right="0.5" top="0" bottom="0" header="0" footer="0"/>
  <pageSetup scale="3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  <pageSetUpPr fitToPage="1"/>
  </sheetPr>
  <dimension ref="B3:AN131"/>
  <sheetViews>
    <sheetView showGridLines="0" showZeros="0" zoomScale="10" zoomScaleNormal="10" workbookViewId="0">
      <selection activeCell="C129" sqref="C129"/>
    </sheetView>
  </sheetViews>
  <sheetFormatPr baseColWidth="10" defaultRowHeight="27" customHeight="1" x14ac:dyDescent="0.3"/>
  <cols>
    <col min="1" max="1" width="11" style="22" customWidth="1"/>
    <col min="2" max="2" width="9.75" style="22" customWidth="1"/>
    <col min="3" max="3" width="42" style="22" customWidth="1"/>
    <col min="4" max="4" width="23.125" style="22" customWidth="1"/>
    <col min="5" max="5" width="31" style="22" customWidth="1"/>
    <col min="6" max="6" width="31.125" style="22" customWidth="1"/>
    <col min="7" max="7" width="25.875" style="22" customWidth="1"/>
    <col min="8" max="8" width="26.625" style="22" customWidth="1"/>
    <col min="9" max="9" width="29.25" style="22" customWidth="1"/>
    <col min="10" max="10" width="18.625" style="22" customWidth="1"/>
    <col min="11" max="11" width="20.375" style="22" customWidth="1"/>
    <col min="12" max="12" width="25.25" style="22" customWidth="1"/>
    <col min="13" max="13" width="37.625" style="22" customWidth="1"/>
    <col min="14" max="14" width="28.75" style="22" customWidth="1"/>
    <col min="15" max="15" width="33.125" style="22" customWidth="1"/>
    <col min="16" max="16" width="26.875" style="22" customWidth="1"/>
    <col min="17" max="17" width="20.75" style="22" customWidth="1"/>
    <col min="18" max="18" width="19.875" style="22" customWidth="1"/>
    <col min="19" max="19" width="18.25" style="22" customWidth="1"/>
    <col min="20" max="20" width="19" style="22" customWidth="1"/>
    <col min="21" max="21" width="19.875" style="22" customWidth="1"/>
    <col min="22" max="22" width="19.75" style="22" customWidth="1"/>
    <col min="23" max="23" width="18.875" style="22" customWidth="1"/>
    <col min="24" max="24" width="21.125" style="22" customWidth="1"/>
    <col min="25" max="25" width="23.125" style="22" customWidth="1"/>
    <col min="26" max="26" width="26.125" style="22" customWidth="1"/>
    <col min="27" max="27" width="19.25" style="22" customWidth="1"/>
    <col min="28" max="28" width="21" style="22" customWidth="1"/>
    <col min="29" max="29" width="19.625" style="22" customWidth="1"/>
    <col min="30" max="30" width="20" style="22" customWidth="1"/>
    <col min="31" max="31" width="16.5" style="22" customWidth="1"/>
    <col min="32" max="32" width="18.625" style="22" customWidth="1"/>
    <col min="33" max="33" width="20.5" style="22" customWidth="1"/>
    <col min="34" max="34" width="18.5" style="22" customWidth="1"/>
    <col min="35" max="35" width="20.5" style="22" customWidth="1"/>
    <col min="36" max="36" width="20" style="22" customWidth="1"/>
    <col min="37" max="37" width="23.125" style="22" customWidth="1"/>
    <col min="38" max="38" width="24.5" style="22" customWidth="1"/>
    <col min="39" max="39" width="17.875" style="22" customWidth="1"/>
    <col min="40" max="40" width="16.625" style="22" customWidth="1"/>
    <col min="41" max="16384" width="11" style="22"/>
  </cols>
  <sheetData>
    <row r="3" spans="3:40" ht="90" customHeight="1" x14ac:dyDescent="0.3">
      <c r="C3" s="174" t="s">
        <v>220</v>
      </c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</row>
    <row r="4" spans="3:40" ht="62.25" customHeight="1" x14ac:dyDescent="0.3">
      <c r="C4" s="175" t="str">
        <f>TEXT(Historical!H2," mmmm dd, aaaa")</f>
        <v xml:space="preserve"> marzo 06, martes</v>
      </c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</row>
    <row r="5" spans="3:40" ht="5.25" customHeight="1" x14ac:dyDescent="0.3"/>
    <row r="6" spans="3:40" ht="12.75" customHeight="1" x14ac:dyDescent="0.3"/>
    <row r="7" spans="3:40" ht="11.25" customHeight="1" x14ac:dyDescent="0.3">
      <c r="F7" s="45"/>
    </row>
    <row r="8" spans="3:40" ht="10.5" customHeight="1" x14ac:dyDescent="0.3"/>
    <row r="9" spans="3:40" ht="16.5" customHeight="1" x14ac:dyDescent="0.8">
      <c r="D9" s="46"/>
      <c r="E9" s="47"/>
    </row>
    <row r="10" spans="3:40" ht="19.5" hidden="1" customHeight="1" x14ac:dyDescent="0.8">
      <c r="D10" s="46"/>
      <c r="E10" s="47"/>
    </row>
    <row r="11" spans="3:40" ht="66" customHeight="1" x14ac:dyDescent="0.8">
      <c r="D11" s="48" t="s">
        <v>59</v>
      </c>
      <c r="E11" s="49"/>
      <c r="O11" s="50"/>
      <c r="P11" s="50"/>
      <c r="Q11" s="50"/>
      <c r="R11" s="50"/>
      <c r="S11" s="50"/>
      <c r="T11" s="50"/>
    </row>
    <row r="12" spans="3:40" ht="51" customHeight="1" x14ac:dyDescent="0.3">
      <c r="C12" s="176" t="s">
        <v>108</v>
      </c>
      <c r="D12" s="176"/>
      <c r="E12" s="176"/>
      <c r="F12" s="176"/>
      <c r="G12" s="176"/>
      <c r="H12" s="176"/>
      <c r="I12" s="176"/>
      <c r="J12" s="50"/>
      <c r="L12" s="176" t="s">
        <v>223</v>
      </c>
      <c r="M12" s="176"/>
      <c r="N12" s="176"/>
      <c r="O12" s="176"/>
      <c r="P12" s="176"/>
      <c r="Q12" s="176"/>
      <c r="R12" s="176"/>
    </row>
    <row r="13" spans="3:40" ht="41.25" customHeight="1" x14ac:dyDescent="0.3">
      <c r="E13" s="50"/>
      <c r="F13" s="50"/>
      <c r="G13" s="50"/>
      <c r="H13" s="50"/>
      <c r="I13" s="50"/>
      <c r="M13" s="51"/>
      <c r="N13" s="52"/>
      <c r="O13" s="52"/>
    </row>
    <row r="14" spans="3:40" ht="35.25" customHeight="1" x14ac:dyDescent="0.4">
      <c r="C14" s="53"/>
      <c r="D14" s="54" t="s">
        <v>66</v>
      </c>
      <c r="E14" s="54" t="s">
        <v>71</v>
      </c>
      <c r="F14" s="54" t="s">
        <v>5</v>
      </c>
      <c r="G14" s="54" t="s">
        <v>160</v>
      </c>
      <c r="H14" s="54" t="s">
        <v>6</v>
      </c>
      <c r="I14" s="54" t="s">
        <v>21</v>
      </c>
      <c r="L14" s="55" t="s">
        <v>81</v>
      </c>
      <c r="M14" s="55" t="s">
        <v>82</v>
      </c>
      <c r="N14" s="55" t="s">
        <v>66</v>
      </c>
      <c r="O14" s="55" t="s">
        <v>6</v>
      </c>
      <c r="P14" s="55" t="s">
        <v>67</v>
      </c>
      <c r="Q14" s="55" t="s">
        <v>21</v>
      </c>
      <c r="R14" s="55" t="s">
        <v>68</v>
      </c>
      <c r="V14" s="56"/>
    </row>
    <row r="15" spans="3:40" ht="35.25" customHeight="1" x14ac:dyDescent="0.5">
      <c r="C15" s="57" t="s">
        <v>91</v>
      </c>
      <c r="D15" s="58">
        <f>SUMIFS(Dataset!AK:AK,Dataset!F:F,'retorno absoluto'!D11,Dataset!AH:AH,"deposito", Dataset!T:T,"$")</f>
        <v>0</v>
      </c>
      <c r="E15" s="59">
        <f>SUMIFS(Dataset!V:V,Dataset!F:F,'retorno absoluto'!D11,Dataset!AH:AH,"deposito", Dataset!T:T,"$")/1000000</f>
        <v>0</v>
      </c>
      <c r="F15" s="60">
        <f>SUMIFS(Dataset!H:H,Dataset!F:F,'retorno absoluto'!D11,Dataset!AH:AH,"deposito", Dataset!T:T,"$")</f>
        <v>0</v>
      </c>
      <c r="G15" s="58">
        <f>SUMIFS(Dataset!AQ:AQ,Dataset!F:F,'retorno absoluto'!D11,Dataset!AH:AH,"deposito", Dataset!T:T,"$")</f>
        <v>0</v>
      </c>
      <c r="H15" s="58">
        <f>SUMIFS(Dataset!I:I,Dataset!F:F,'retorno absoluto'!D11,Dataset!AH:AH,"deposito", Dataset!T:T,"$")</f>
        <v>0</v>
      </c>
      <c r="I15" s="58">
        <f>SUMIFS(Dataset!AA:AA,Dataset!F:F,'retorno absoluto'!D11,Dataset!AH:AH,"deposito", Dataset!T:T,"$")</f>
        <v>0</v>
      </c>
      <c r="L15" s="61">
        <v>1</v>
      </c>
      <c r="M15" s="58" t="str">
        <f>IFERROR(INDEX(Dataset!G:G,MATCH(_xlfn.AGGREGATE(14,6,Dataset!AK:AK/(Dataset!F:F=$D$11),L15),Dataset!AK:AK,0),1),"-")</f>
        <v>-</v>
      </c>
      <c r="N15" s="58" t="str">
        <f>IFERROR(INDEX(Dataset!AK:AK,MATCH(_xlfn.AGGREGATE(14,6,Dataset!AK:AK/(Dataset!F:F=$D$11),L15),Dataset!AK:AK,0),1),"-")</f>
        <v>-</v>
      </c>
      <c r="O15" s="58" t="str">
        <f>IFERROR(INDEX(Dataset!I:I,MATCH(_xlfn.AGGREGATE(14,6,Dataset!AK:AK/(Dataset!F:F=$D$11),L15),Dataset!AK:AK,0),1),"-")</f>
        <v>-</v>
      </c>
      <c r="P15" s="58" t="e">
        <f>IFERROR(INDEX(Dataset!R:R,MATCH(_xlfn.AGGREGATE(14,6,Dataset!AK:AK/(Dataset!F:F=$D$11),L15),Dataset!AK:AK,0),1),"-")/100</f>
        <v>#VALUE!</v>
      </c>
      <c r="Q15" s="58" t="str">
        <f>IFERROR(INDEX(Dataset!AA:AA,MATCH(_xlfn.AGGREGATE(14,6,Dataset!AK:AK/(Dataset!F:F=$D$11),L15),Dataset!AK:AK,0),1),"-")</f>
        <v>-</v>
      </c>
      <c r="R15" s="60" t="str">
        <f>IFERROR(INDEX(Dataset!J:J,MATCH(_xlfn.AGGREGATE(14,6,Dataset!AK:AK/(Dataset!F:F=$D$11),L15),Dataset!AK:AK,0),1),"-")</f>
        <v>-</v>
      </c>
      <c r="Y15" s="62"/>
    </row>
    <row r="16" spans="3:40" ht="35.25" customHeight="1" x14ac:dyDescent="0.5">
      <c r="C16" s="57" t="s">
        <v>60</v>
      </c>
      <c r="D16" s="58">
        <f>SUMIFS(Dataset!AK:AK,Dataset!F:F,'retorno absoluto'!D11,Dataset!AH:AH,"deposito", Dataset!T:T,"uf")</f>
        <v>0</v>
      </c>
      <c r="E16" s="59">
        <f>SUMIFS(Dataset!V:V,Dataset!F:F,'retorno absoluto'!D11,Dataset!AH:AH,"deposito", Dataset!T:T,"uf")/1000000</f>
        <v>0</v>
      </c>
      <c r="F16" s="60">
        <f>SUMIFS(Dataset!H:H,Dataset!F:F,'retorno absoluto'!D11,Dataset!AH:AH,"deposito", Dataset!T:T,"uf")</f>
        <v>0</v>
      </c>
      <c r="G16" s="58">
        <f>SUMIFS(Dataset!AQ:AQ,Dataset!F:F,'retorno absoluto'!D11,Dataset!AH:AH,"deposito", Dataset!T:T,"uf")</f>
        <v>0</v>
      </c>
      <c r="H16" s="58">
        <f>SUMIFS(Dataset!I:I,Dataset!F:F,'retorno absoluto'!D11,Dataset!AH:AH,"deposito", Dataset!T:T,"uf")</f>
        <v>0</v>
      </c>
      <c r="I16" s="58">
        <f>SUMIFS(Dataset!AA:AA,Dataset!F:F,'retorno absoluto'!D11,Dataset!AH:AH,"deposito", Dataset!T:T,"uf")</f>
        <v>0</v>
      </c>
      <c r="L16" s="61">
        <v>2</v>
      </c>
      <c r="M16" s="58" t="str">
        <f>IFERROR(INDEX(Dataset!G:G,MATCH(_xlfn.AGGREGATE(14,6,Dataset!AK:AK/(Dataset!F:F=$D$11),L16),Dataset!AK:AK,0),1),"-")</f>
        <v>-</v>
      </c>
      <c r="N16" s="58" t="str">
        <f>IFERROR(INDEX(Dataset!AK:AK,MATCH(_xlfn.AGGREGATE(14,6,Dataset!AK:AK/(Dataset!F:F=$D$11),L16),Dataset!AK:AK,0),1),"-")</f>
        <v>-</v>
      </c>
      <c r="O16" s="58" t="str">
        <f>IFERROR(INDEX(Dataset!I:I,MATCH(_xlfn.AGGREGATE(14,6,Dataset!AK:AK/(Dataset!F:F=$D$11),L16),Dataset!AK:AK,0),1),"-")</f>
        <v>-</v>
      </c>
      <c r="P16" s="58" t="e">
        <f>IFERROR(INDEX(Dataset!R:R,MATCH(_xlfn.AGGREGATE(14,6,Dataset!AK:AK/(Dataset!F:F=$D$11),L16),Dataset!AK:AK,0),1),"-")/100</f>
        <v>#VALUE!</v>
      </c>
      <c r="Q16" s="58" t="str">
        <f>IFERROR(INDEX(Dataset!AA:AA,MATCH(_xlfn.AGGREGATE(14,6,Dataset!AK:AK/(Dataset!F:F=$D$11),L16),Dataset!AK:AK,0),1),"-")</f>
        <v>-</v>
      </c>
      <c r="R16" s="60" t="str">
        <f>IFERROR(INDEX(Dataset!J:J,MATCH(_xlfn.AGGREGATE(14,6,Dataset!AK:AK/(Dataset!F:F=$D$11),L16),Dataset!AK:AK,0),1),"-")</f>
        <v>-</v>
      </c>
    </row>
    <row r="17" spans="3:24" ht="35.25" customHeight="1" x14ac:dyDescent="0.5">
      <c r="C17" s="57" t="s">
        <v>92</v>
      </c>
      <c r="D17" s="58">
        <f>SUMIFS(Dataset!AK:AK,Dataset!F:F,'retorno absoluto'!D11,Dataset!AH:AH,"bono de gobierno", Dataset!T:T,"$")</f>
        <v>0</v>
      </c>
      <c r="E17" s="59">
        <f>SUMIFS(Dataset!V:V,Dataset!F:F,'retorno absoluto'!D11,Dataset!AH:AH,"bono de gobierno", Dataset!T:T,"$")/1000000</f>
        <v>0</v>
      </c>
      <c r="F17" s="60">
        <f>SUMIFS(Dataset!H:H,Dataset!F:F,'retorno absoluto'!D11,Dataset!AH:AH,"bono de gobierno", Dataset!T:T,"$")</f>
        <v>0</v>
      </c>
      <c r="G17" s="58">
        <f>SUMIFS(Dataset!AQ:AQ,Dataset!F:F,'retorno absoluto'!D11,Dataset!AH:AH,"bono de gobierno", Dataset!T:T,"$")</f>
        <v>0</v>
      </c>
      <c r="H17" s="58">
        <f>SUMIFS(Dataset!I:I,Dataset!F:F,'retorno absoluto'!D11,Dataset!AH:AH,"bono de gobierno", Dataset!T:T,"$")</f>
        <v>0</v>
      </c>
      <c r="I17" s="58">
        <f>SUMIFS(Dataset!AA:AA,Dataset!F:F,'retorno absoluto'!D11,Dataset!AH:AH,"bono de gobierno", Dataset!T:T,"$")</f>
        <v>0</v>
      </c>
      <c r="L17" s="61">
        <v>3</v>
      </c>
      <c r="M17" s="58" t="str">
        <f>IFERROR(INDEX(Dataset!G:G,MATCH(_xlfn.AGGREGATE(14,6,Dataset!AK:AK/(Dataset!F:F=$D$11),L17),Dataset!AK:AK,0),1),"-")</f>
        <v>-</v>
      </c>
      <c r="N17" s="58" t="str">
        <f>IFERROR(INDEX(Dataset!AK:AK,MATCH(_xlfn.AGGREGATE(14,6,Dataset!AK:AK/(Dataset!F:F=$D$11),L17),Dataset!AK:AK,0),1),"-")</f>
        <v>-</v>
      </c>
      <c r="O17" s="58" t="str">
        <f>IFERROR(INDEX(Dataset!I:I,MATCH(_xlfn.AGGREGATE(14,6,Dataset!AK:AK/(Dataset!F:F=$D$11),L17),Dataset!AK:AK,0),1),"-")</f>
        <v>-</v>
      </c>
      <c r="P17" s="58" t="e">
        <f>IFERROR(INDEX(Dataset!R:R,MATCH(_xlfn.AGGREGATE(14,6,Dataset!AK:AK/(Dataset!F:F=$D$11),L17),Dataset!AK:AK,0),1),"-")/100</f>
        <v>#VALUE!</v>
      </c>
      <c r="Q17" s="58" t="str">
        <f>IFERROR(INDEX(Dataset!AA:AA,MATCH(_xlfn.AGGREGATE(14,6,Dataset!AK:AK/(Dataset!F:F=$D$11),L17),Dataset!AK:AK,0),1),"-")</f>
        <v>-</v>
      </c>
      <c r="R17" s="60" t="str">
        <f>IFERROR(INDEX(Dataset!J:J,MATCH(_xlfn.AGGREGATE(14,6,Dataset!AK:AK/(Dataset!F:F=$D$11),L17),Dataset!AK:AK,0),1),"-")</f>
        <v>-</v>
      </c>
      <c r="W17" s="52"/>
      <c r="X17" s="63"/>
    </row>
    <row r="18" spans="3:24" ht="35.25" customHeight="1" x14ac:dyDescent="0.5">
      <c r="C18" s="57" t="s">
        <v>63</v>
      </c>
      <c r="D18" s="58">
        <f>SUMIFS(Dataset!AK:AK,Dataset!F:F,'retorno absoluto'!D11,Dataset!AH:AH,"bono de gobierno", Dataset!T:T,"uf")</f>
        <v>0</v>
      </c>
      <c r="E18" s="59">
        <f>SUMIFS(Dataset!V:V,Dataset!F:F,'retorno absoluto'!D11,Dataset!AH:AH,"bono de gobierno", Dataset!T:T,"uf")/1000000</f>
        <v>0</v>
      </c>
      <c r="F18" s="60">
        <f>SUMIFS(Dataset!H:H,Dataset!F:F,'retorno absoluto'!D11,Dataset!AH:AH,"bono de gobierno", Dataset!T:T,"uf")</f>
        <v>0</v>
      </c>
      <c r="G18" s="58">
        <f>SUMIFS(Dataset!AQ:AQ,Dataset!F:F,'retorno absoluto'!D11,Dataset!AH:AH,"bono de gobierno", Dataset!T:T,"uf")</f>
        <v>0</v>
      </c>
      <c r="H18" s="58">
        <f>SUMIFS(Dataset!I:I,Dataset!F:F,'retorno absoluto'!D11,Dataset!AH:AH,"bono de gobierno", Dataset!T:T,"uf")</f>
        <v>0</v>
      </c>
      <c r="I18" s="58">
        <f>SUMIFS(Dataset!AA:AA,Dataset!F:F,'retorno absoluto'!D11,Dataset!AH:AH,"bono de gobierno", Dataset!T:T,"uf")</f>
        <v>0</v>
      </c>
      <c r="L18" s="61">
        <v>4</v>
      </c>
      <c r="M18" s="58" t="str">
        <f>IFERROR(INDEX(Dataset!G:G,MATCH(_xlfn.AGGREGATE(14,6,Dataset!AK:AK/(Dataset!F:F=$D$11),L18),Dataset!AK:AK,0),1),"-")</f>
        <v>-</v>
      </c>
      <c r="N18" s="58" t="str">
        <f>IFERROR(INDEX(Dataset!AK:AK,MATCH(_xlfn.AGGREGATE(14,6,Dataset!AK:AK/(Dataset!F:F=$D$11),L18),Dataset!AK:AK,0),1),"-")</f>
        <v>-</v>
      </c>
      <c r="O18" s="58" t="str">
        <f>IFERROR(INDEX(Dataset!I:I,MATCH(_xlfn.AGGREGATE(14,6,Dataset!AK:AK/(Dataset!F:F=$D$11),L18),Dataset!AK:AK,0),1),"-")</f>
        <v>-</v>
      </c>
      <c r="P18" s="58" t="e">
        <f>IFERROR(INDEX(Dataset!R:R,MATCH(_xlfn.AGGREGATE(14,6,Dataset!AK:AK/(Dataset!F:F=$D$11),L18),Dataset!AK:AK,0),1),"-")/100</f>
        <v>#VALUE!</v>
      </c>
      <c r="Q18" s="58" t="str">
        <f>IFERROR(INDEX(Dataset!AA:AA,MATCH(_xlfn.AGGREGATE(14,6,Dataset!AK:AK/(Dataset!F:F=$D$11),L18),Dataset!AK:AK,0),1),"-")</f>
        <v>-</v>
      </c>
      <c r="R18" s="60" t="str">
        <f>IFERROR(INDEX(Dataset!J:J,MATCH(_xlfn.AGGREGATE(14,6,Dataset!AK:AK/(Dataset!F:F=$D$11),L18),Dataset!AK:AK,0),1),"-")</f>
        <v>-</v>
      </c>
    </row>
    <row r="19" spans="3:24" ht="35.25" customHeight="1" x14ac:dyDescent="0.5">
      <c r="C19" s="57" t="s">
        <v>87</v>
      </c>
      <c r="D19" s="58">
        <f>SUMIFS(Dataset!AK:AK,Dataset!F:F,'retorno absoluto'!D11,Dataset!AH:AH,"bono de gobierno", Dataset!T:T,"eu")</f>
        <v>0</v>
      </c>
      <c r="E19" s="59">
        <f>SUMIFS(Dataset!V:V,Dataset!F:F,'retorno absoluto'!D11,Dataset!AH:AH,"bono de gobierno", Dataset!T:T,"eu")/1000000</f>
        <v>0</v>
      </c>
      <c r="F19" s="60">
        <f>SUMIFS(Dataset!H:H,Dataset!F:F,'retorno absoluto'!D11,Dataset!AH:AH,"bono de gobierno", Dataset!T:T,"eu")</f>
        <v>0</v>
      </c>
      <c r="G19" s="58">
        <f>SUMIFS(Dataset!AQ:AQ,Dataset!F:F,'retorno absoluto'!D11,Dataset!AH:AH,"bono de gobierno", Dataset!T:T,"eu")</f>
        <v>0</v>
      </c>
      <c r="H19" s="58">
        <f>SUMIFS(Dataset!I:I,Dataset!F:F,'retorno absoluto'!D11,Dataset!AH:AH,"bono de gobierno", Dataset!T:T,"eu")</f>
        <v>0</v>
      </c>
      <c r="I19" s="58">
        <f>SUMIFS(Dataset!AA:AA,Dataset!F:F,'retorno absoluto'!D11,Dataset!AH:AH,"bono de gobierno", Dataset!T:T,"eu")</f>
        <v>0</v>
      </c>
      <c r="L19" s="61">
        <v>5</v>
      </c>
      <c r="M19" s="58" t="str">
        <f>IFERROR(INDEX(Dataset!G:G,MATCH(_xlfn.AGGREGATE(14,6,Dataset!AK:AK/(Dataset!F:F=$D$11),L19),Dataset!AK:AK,0),1),"-")</f>
        <v>-</v>
      </c>
      <c r="N19" s="58" t="str">
        <f>IFERROR(INDEX(Dataset!AK:AK,MATCH(_xlfn.AGGREGATE(14,6,Dataset!AK:AK/(Dataset!F:F=$D$11),L19),Dataset!AK:AK,0),1),"-")</f>
        <v>-</v>
      </c>
      <c r="O19" s="58" t="str">
        <f>IFERROR(INDEX(Dataset!I:I,MATCH(_xlfn.AGGREGATE(14,6,Dataset!AK:AK/(Dataset!F:F=$D$11),L19),Dataset!AK:AK,0),1),"-")</f>
        <v>-</v>
      </c>
      <c r="P19" s="58" t="e">
        <f>IFERROR(INDEX(Dataset!R:R,MATCH(_xlfn.AGGREGATE(14,6,Dataset!AK:AK/(Dataset!F:F=$D$11),L19),Dataset!AK:AK,0),1),"-")/100</f>
        <v>#VALUE!</v>
      </c>
      <c r="Q19" s="58" t="str">
        <f>IFERROR(INDEX(Dataset!AA:AA,MATCH(_xlfn.AGGREGATE(14,6,Dataset!AK:AK/(Dataset!F:F=$D$11),L19),Dataset!AK:AK,0),1),"-")</f>
        <v>-</v>
      </c>
      <c r="R19" s="60" t="str">
        <f>IFERROR(INDEX(Dataset!J:J,MATCH(_xlfn.AGGREGATE(14,6,Dataset!AK:AK/(Dataset!F:F=$D$11),L19),Dataset!AK:AK,0),1),"-")</f>
        <v>-</v>
      </c>
    </row>
    <row r="20" spans="3:24" ht="35.25" customHeight="1" x14ac:dyDescent="0.5">
      <c r="C20" s="57" t="s">
        <v>158</v>
      </c>
      <c r="D20" s="58">
        <f>SUMIFS(Dataset!AK:AK,Dataset!F:F,'retorno absoluto'!D11,Dataset!AH:AH,"bono de gobierno", Dataset!T:T,"mx")</f>
        <v>0</v>
      </c>
      <c r="E20" s="59">
        <f>SUMIFS(Dataset!V:V,Dataset!F:F,'retorno absoluto'!D11,Dataset!AH:AH,"bono de gobierno", Dataset!T:T,"mx")/1000000</f>
        <v>0</v>
      </c>
      <c r="F20" s="60">
        <f>SUMIFS(Dataset!H:H,Dataset!F:F,'retorno absoluto'!D11,Dataset!AH:AH,"bono de gobierno", Dataset!T:T,"mx")</f>
        <v>0</v>
      </c>
      <c r="G20" s="58">
        <f>SUMIFS(Dataset!AQ:AQ,Dataset!F:F,'retorno absoluto'!D11,Dataset!AH:AH,"bono de gobierno", Dataset!T:T,"mx")</f>
        <v>0</v>
      </c>
      <c r="H20" s="58">
        <f>SUMIFS(Dataset!I:I,Dataset!F:F,'retorno absoluto'!D11,Dataset!AH:AH,"bono de gobierno", Dataset!T:T,"mx")</f>
        <v>0</v>
      </c>
      <c r="I20" s="58">
        <f>SUMIFS(Dataset!AA:AA,Dataset!F:F,'retorno absoluto'!D11,Dataset!AH:AH,"bono de gobierno", Dataset!T:T,"mx")</f>
        <v>0</v>
      </c>
      <c r="L20" s="61">
        <v>6</v>
      </c>
      <c r="M20" s="58" t="str">
        <f>IFERROR(INDEX(Dataset!G:G,MATCH(_xlfn.AGGREGATE(14,6,Dataset!AK:AK/(Dataset!F:F=$D$11),L20),Dataset!AK:AK,0),1),"-")</f>
        <v>-</v>
      </c>
      <c r="N20" s="58" t="str">
        <f>IFERROR(INDEX(Dataset!AK:AK,MATCH(_xlfn.AGGREGATE(14,6,Dataset!AK:AK/(Dataset!F:F=$D$11),L20),Dataset!AK:AK,0),1),"-")</f>
        <v>-</v>
      </c>
      <c r="O20" s="58" t="str">
        <f>IFERROR(INDEX(Dataset!I:I,MATCH(_xlfn.AGGREGATE(14,6,Dataset!AK:AK/(Dataset!F:F=$D$11),L20),Dataset!AK:AK,0),1),"-")</f>
        <v>-</v>
      </c>
      <c r="P20" s="58" t="e">
        <f>IFERROR(INDEX(Dataset!R:R,MATCH(_xlfn.AGGREGATE(14,6,Dataset!AK:AK/(Dataset!F:F=$D$11),L20),Dataset!AK:AK,0),1),"-")/100</f>
        <v>#VALUE!</v>
      </c>
      <c r="Q20" s="58" t="str">
        <f>IFERROR(INDEX(Dataset!AA:AA,MATCH(_xlfn.AGGREGATE(14,6,Dataset!AK:AK/(Dataset!F:F=$D$11),L20),Dataset!AK:AK,0),1),"-")</f>
        <v>-</v>
      </c>
      <c r="R20" s="60" t="str">
        <f>IFERROR(INDEX(Dataset!J:J,MATCH(_xlfn.AGGREGATE(14,6,Dataset!AK:AK/(Dataset!F:F=$D$11),L20),Dataset!AK:AK,0),1),"-")</f>
        <v>-</v>
      </c>
    </row>
    <row r="21" spans="3:24" ht="35.25" customHeight="1" x14ac:dyDescent="0.5">
      <c r="C21" s="57" t="s">
        <v>163</v>
      </c>
      <c r="D21" s="58">
        <f>SUMIFS(Dataset!AK:AK,Dataset!F:F,'retorno absoluto'!D11,Dataset!AH:AH,"bono de gobierno", Dataset!T:T,"rea")</f>
        <v>0</v>
      </c>
      <c r="E21" s="59">
        <f>SUMIFS(Dataset!V:V,Dataset!F:F,'retorno absoluto'!D11,Dataset!AH:AH,"bono de gobierno", Dataset!T:T,"rea")/1000000</f>
        <v>0</v>
      </c>
      <c r="F21" s="60">
        <f>SUMIFS(Dataset!H:H,Dataset!F:F,'retorno absoluto'!D11,Dataset!AH:AH,"bono de gobierno", Dataset!T:T,"rea")</f>
        <v>0</v>
      </c>
      <c r="G21" s="58">
        <f>SUMIFS(Dataset!AQ:AQ,Dataset!F:F,'retorno absoluto'!D11,Dataset!AH:AH,"bono de gobierno", Dataset!T:T,"rea")</f>
        <v>0</v>
      </c>
      <c r="H21" s="58">
        <f>SUMIFS(Dataset!I:I,Dataset!F:F,'retorno absoluto'!D11,Dataset!AH:AH,"bono de gobierno", Dataset!T:T,"rea")</f>
        <v>0</v>
      </c>
      <c r="I21" s="58">
        <f>SUMIFS(Dataset!AA:AA,Dataset!F:F,'retorno absoluto'!D11,Dataset!AH:AH,"bono de gobierno", Dataset!T:T,"rea")</f>
        <v>0</v>
      </c>
      <c r="L21" s="61">
        <v>7</v>
      </c>
      <c r="M21" s="58" t="str">
        <f>IFERROR(INDEX(Dataset!G:G,MATCH(_xlfn.AGGREGATE(14,6,Dataset!AK:AK/(Dataset!F:F=$D$11),L21),Dataset!AK:AK,0),1),"-")</f>
        <v>-</v>
      </c>
      <c r="N21" s="58" t="str">
        <f>IFERROR(INDEX(Dataset!AK:AK,MATCH(_xlfn.AGGREGATE(14,6,Dataset!AK:AK/(Dataset!F:F=$D$11),L21),Dataset!AK:AK,0),1),"-")</f>
        <v>-</v>
      </c>
      <c r="O21" s="58" t="str">
        <f>IFERROR(INDEX(Dataset!I:I,MATCH(_xlfn.AGGREGATE(14,6,Dataset!AK:AK/(Dataset!F:F=$D$11),L21),Dataset!AK:AK,0),1),"-")</f>
        <v>-</v>
      </c>
      <c r="P21" s="58" t="e">
        <f>IFERROR(INDEX(Dataset!R:R,MATCH(_xlfn.AGGREGATE(14,6,Dataset!AK:AK/(Dataset!F:F=$D$11),L21),Dataset!AK:AK,0),1),"-")/100</f>
        <v>#VALUE!</v>
      </c>
      <c r="Q21" s="58" t="str">
        <f>IFERROR(INDEX(Dataset!AA:AA,MATCH(_xlfn.AGGREGATE(14,6,Dataset!AK:AK/(Dataset!F:F=$D$11),L21),Dataset!AK:AK,0),1),"-")</f>
        <v>-</v>
      </c>
      <c r="R21" s="60" t="str">
        <f>IFERROR(INDEX(Dataset!J:J,MATCH(_xlfn.AGGREGATE(14,6,Dataset!AK:AK/(Dataset!F:F=$D$11),L21),Dataset!AK:AK,0),1),"-")</f>
        <v>-</v>
      </c>
    </row>
    <row r="22" spans="3:24" ht="35.25" customHeight="1" x14ac:dyDescent="0.5">
      <c r="C22" s="57" t="s">
        <v>206</v>
      </c>
      <c r="D22" s="58">
        <f>SUMIFS(Dataset!AK:AK,Dataset!F:F,'retorno absoluto'!D11,Dataset!AH:AH,"bono de gobierno", Dataset!T:T,"sol")</f>
        <v>0</v>
      </c>
      <c r="E22" s="59">
        <f>SUMIFS(Dataset!V:V,Dataset!F:F,'retorno absoluto'!D11,Dataset!AH:AH,"bono de gobierno", Dataset!T:T,"sol")/1000000</f>
        <v>0</v>
      </c>
      <c r="F22" s="60">
        <f>SUMIFS(Dataset!H:H,Dataset!F:F,'retorno absoluto'!D11,Dataset!AH:AH,"bono de gobierno", Dataset!T:T,"sol")</f>
        <v>0</v>
      </c>
      <c r="G22" s="58">
        <f>SUMIFS(Dataset!AQ:AQ,Dataset!F:F,'retorno absoluto'!D11,Dataset!AH:AH,"bono de gobierno", Dataset!T:T,"sol")</f>
        <v>0</v>
      </c>
      <c r="H22" s="58">
        <f>SUMIFS(Dataset!I:I,Dataset!F:F,'retorno absoluto'!D11,Dataset!AH:AH,"bono de gobierno", Dataset!T:T,"sol")</f>
        <v>0</v>
      </c>
      <c r="I22" s="58">
        <f>SUMIFS(Dataset!AA:AA,Dataset!F:F,'retorno absoluto'!D11,Dataset!AH:AH,"bono de gobierno", Dataset!T:T,"sol")</f>
        <v>0</v>
      </c>
      <c r="L22" s="61">
        <v>8</v>
      </c>
      <c r="M22" s="58" t="str">
        <f>IFERROR(INDEX(Dataset!G:G,MATCH(_xlfn.AGGREGATE(14,6,Dataset!AK:AK/(Dataset!F:F=$D$11),L22),Dataset!AK:AK,0),1),"-")</f>
        <v>-</v>
      </c>
      <c r="N22" s="58" t="str">
        <f>IFERROR(INDEX(Dataset!AK:AK,MATCH(_xlfn.AGGREGATE(14,6,Dataset!AK:AK/(Dataset!F:F=$D$11),L22),Dataset!AK:AK,0),1),"-")</f>
        <v>-</v>
      </c>
      <c r="O22" s="58" t="str">
        <f>IFERROR(INDEX(Dataset!I:I,MATCH(_xlfn.AGGREGATE(14,6,Dataset!AK:AK/(Dataset!F:F=$D$11),L22),Dataset!AK:AK,0),1),"-")</f>
        <v>-</v>
      </c>
      <c r="P22" s="58" t="e">
        <f>IFERROR(INDEX(Dataset!R:R,MATCH(_xlfn.AGGREGATE(14,6,Dataset!AK:AK/(Dataset!F:F=$D$11),L22),Dataset!AK:AK,0),1),"-")/100</f>
        <v>#VALUE!</v>
      </c>
      <c r="Q22" s="58" t="str">
        <f>IFERROR(INDEX(Dataset!AA:AA,MATCH(_xlfn.AGGREGATE(14,6,Dataset!AK:AK/(Dataset!F:F=$D$11),L22),Dataset!AK:AK,0),1),"-")</f>
        <v>-</v>
      </c>
      <c r="R22" s="60" t="str">
        <f>IFERROR(INDEX(Dataset!J:J,MATCH(_xlfn.AGGREGATE(14,6,Dataset!AK:AK/(Dataset!F:F=$D$11),L22),Dataset!AK:AK,0),1),"-")</f>
        <v>-</v>
      </c>
    </row>
    <row r="23" spans="3:24" ht="35.25" customHeight="1" x14ac:dyDescent="0.5">
      <c r="C23" s="57" t="s">
        <v>94</v>
      </c>
      <c r="D23" s="58">
        <f>SUMIFS(Dataset!AK:AK,Dataset!F:F,'retorno absoluto'!D11,Dataset!AH:AH,"bono corporativo", Dataset!T:T,"$")</f>
        <v>0</v>
      </c>
      <c r="E23" s="59">
        <f>SUMIFS(Dataset!V:V,Dataset!F:F,'retorno absoluto'!D11,Dataset!AH:AH,"bono corporativo", Dataset!T:T,"$")/1000000</f>
        <v>0</v>
      </c>
      <c r="F23" s="60">
        <f>SUMIFS(Dataset!H:H,Dataset!F:F,'retorno absoluto'!D11,Dataset!AH:AH,"bono corporativo", Dataset!T:T,"$")</f>
        <v>0</v>
      </c>
      <c r="G23" s="58">
        <f>SUMIFS(Dataset!AQ:AQ,Dataset!F:F,'retorno absoluto'!D11,Dataset!AH:AH,"bono corporativo", Dataset!T:T,"$")</f>
        <v>0</v>
      </c>
      <c r="H23" s="58">
        <f>SUMIFS(Dataset!I:I,Dataset!F:F,'retorno absoluto'!D11,Dataset!AH:AH,"bono corporativo", Dataset!T:T,"$")</f>
        <v>0</v>
      </c>
      <c r="I23" s="58">
        <f>SUMIFS(Dataset!AA:AA,Dataset!F:F,'retorno absoluto'!D11,Dataset!AH:AH,"bono corporativo", Dataset!T:T,"$")</f>
        <v>0</v>
      </c>
      <c r="L23" s="61">
        <v>9</v>
      </c>
      <c r="M23" s="58" t="str">
        <f>IFERROR(INDEX(Dataset!G:G,MATCH(_xlfn.AGGREGATE(14,6,Dataset!AK:AK/(Dataset!F:F=$D$11),L23),Dataset!AK:AK,0),1),"-")</f>
        <v>-</v>
      </c>
      <c r="N23" s="58" t="str">
        <f>IFERROR(INDEX(Dataset!AK:AK,MATCH(_xlfn.AGGREGATE(14,6,Dataset!AK:AK/(Dataset!F:F=$D$11),L23),Dataset!AK:AK,0),1),"-")</f>
        <v>-</v>
      </c>
      <c r="O23" s="58" t="str">
        <f>IFERROR(INDEX(Dataset!I:I,MATCH(_xlfn.AGGREGATE(14,6,Dataset!AK:AK/(Dataset!F:F=$D$11),L23),Dataset!AK:AK,0),1),"-")</f>
        <v>-</v>
      </c>
      <c r="P23" s="58" t="e">
        <f>IFERROR(INDEX(Dataset!R:R,MATCH(_xlfn.AGGREGATE(14,6,Dataset!AK:AK/(Dataset!F:F=$D$11),L23),Dataset!AK:AK,0),1),"-")/100</f>
        <v>#VALUE!</v>
      </c>
      <c r="Q23" s="58" t="str">
        <f>IFERROR(INDEX(Dataset!AA:AA,MATCH(_xlfn.AGGREGATE(14,6,Dataset!AK:AK/(Dataset!F:F=$D$11),L23),Dataset!AK:AK,0),1),"-")</f>
        <v>-</v>
      </c>
      <c r="R23" s="60" t="str">
        <f>IFERROR(INDEX(Dataset!J:J,MATCH(_xlfn.AGGREGATE(14,6,Dataset!AK:AK/(Dataset!F:F=$D$11),L23),Dataset!AK:AK,0),1),"-")</f>
        <v>-</v>
      </c>
    </row>
    <row r="24" spans="3:24" ht="35.25" customHeight="1" x14ac:dyDescent="0.5">
      <c r="C24" s="57" t="s">
        <v>69</v>
      </c>
      <c r="D24" s="58">
        <f>SUMIFS(Dataset!AK:AK,Dataset!F:F,'retorno absoluto'!D11,Dataset!AH:AH,"bono corporativo", Dataset!T:T,"uf")</f>
        <v>0</v>
      </c>
      <c r="E24" s="59">
        <f>SUMIFS(Dataset!V:V,Dataset!F:F,'retorno absoluto'!D11,Dataset!AH:AH,"bono corporativo", Dataset!T:T,"uf")/1000000</f>
        <v>0</v>
      </c>
      <c r="F24" s="60">
        <f>SUMIFS(Dataset!H:H,Dataset!F:F,'retorno absoluto'!D11,Dataset!AH:AH,"bono corporativo", Dataset!T:T,"uf")</f>
        <v>0</v>
      </c>
      <c r="G24" s="58">
        <f>SUMIFS(Dataset!AQ:AQ,Dataset!F:F,'retorno absoluto'!D11,Dataset!AH:AH,"bono corporativo", Dataset!T:T,"uf")</f>
        <v>0</v>
      </c>
      <c r="H24" s="58">
        <f>SUMIFS(Dataset!I:I,Dataset!F:F,'retorno absoluto'!D11,Dataset!AH:AH,"bono corporativo", Dataset!T:T,"uf")</f>
        <v>0</v>
      </c>
      <c r="I24" s="58">
        <f>SUMIFS(Dataset!AA:AA,Dataset!F:F,'retorno absoluto'!D11,Dataset!AH:AH,"bono corporativo", Dataset!T:T,"uf")</f>
        <v>0</v>
      </c>
      <c r="L24" s="61">
        <v>10</v>
      </c>
      <c r="M24" s="58" t="str">
        <f>IFERROR(INDEX(Dataset!G:G,MATCH(_xlfn.AGGREGATE(14,6,Dataset!AK:AK/(Dataset!F:F=$D$11),L24),Dataset!AK:AK,0),1),"-")</f>
        <v>-</v>
      </c>
      <c r="N24" s="58" t="str">
        <f>IFERROR(INDEX(Dataset!AK:AK,MATCH(_xlfn.AGGREGATE(14,6,Dataset!AK:AK/(Dataset!F:F=$D$11),L24),Dataset!AK:AK,0),1),"-")</f>
        <v>-</v>
      </c>
      <c r="O24" s="58" t="str">
        <f>IFERROR(INDEX(Dataset!I:I,MATCH(_xlfn.AGGREGATE(14,6,Dataset!AK:AK/(Dataset!F:F=$D$11),L24),Dataset!AK:AK,0),1),"-")</f>
        <v>-</v>
      </c>
      <c r="P24" s="58" t="e">
        <f>IFERROR(INDEX(Dataset!R:R,MATCH(_xlfn.AGGREGATE(14,6,Dataset!AK:AK/(Dataset!F:F=$D$11),L24),Dataset!AK:AK,0),1),"-")/100</f>
        <v>#VALUE!</v>
      </c>
      <c r="Q24" s="58" t="str">
        <f>IFERROR(INDEX(Dataset!AA:AA,MATCH(_xlfn.AGGREGATE(14,6,Dataset!AK:AK/(Dataset!F:F=$D$11),L24),Dataset!AK:AK,0),1),"-")</f>
        <v>-</v>
      </c>
      <c r="R24" s="60" t="str">
        <f>IFERROR(INDEX(Dataset!J:J,MATCH(_xlfn.AGGREGATE(14,6,Dataset!AK:AK/(Dataset!F:F=$D$11),L24),Dataset!AK:AK,0),1),"-")</f>
        <v>-</v>
      </c>
    </row>
    <row r="25" spans="3:24" ht="35.25" customHeight="1" x14ac:dyDescent="0.5">
      <c r="C25" s="57" t="s">
        <v>61</v>
      </c>
      <c r="D25" s="58">
        <f>SUMIFS(Dataset!AK:AK,Dataset!F:F,'retorno absoluto'!D11,Dataset!AH:AH,"factura")</f>
        <v>0</v>
      </c>
      <c r="E25" s="59">
        <f>SUMIFS(Dataset!V:V,Dataset!F:F,'retorno absoluto'!D11,Dataset!AH:AH,"factura")/1000000</f>
        <v>0</v>
      </c>
      <c r="F25" s="60">
        <f>SUMIFS(Dataset!H:H,Dataset!F:F,'retorno absoluto'!D11,Dataset!AH:AH,"factura")</f>
        <v>0</v>
      </c>
      <c r="G25" s="58">
        <f>SUMIFS(Dataset!AQ:AQ,Dataset!F:F,'retorno absoluto'!D11,Dataset!AH:AH,"factura")</f>
        <v>0</v>
      </c>
      <c r="H25" s="58">
        <f>SUMIFS(Dataset!I:I,Dataset!F:F,'retorno absoluto'!D11,Dataset!AH:AH,"factura")</f>
        <v>0</v>
      </c>
      <c r="I25" s="58">
        <f>SUMIFS(Dataset!AA:AA,Dataset!F:F,'retorno absoluto'!D11,Dataset!AH:AH,"factura")</f>
        <v>0</v>
      </c>
      <c r="M25" s="64"/>
      <c r="N25" s="64"/>
    </row>
    <row r="26" spans="3:24" ht="35.25" customHeight="1" x14ac:dyDescent="0.5">
      <c r="C26" s="57" t="s">
        <v>95</v>
      </c>
      <c r="D26" s="58">
        <f>SUMIFS(Dataset!AK:AK,Dataset!F:F,'retorno absoluto'!D11,Dataset!AH:AH,"fx forward", Dataset!T:T,"$")</f>
        <v>0</v>
      </c>
      <c r="E26" s="59">
        <f>SUMIFS(Dataset!V:V,Dataset!F:F,'retorno absoluto'!D11,Dataset!AH:AH,"fx forward", Dataset!T:T,"$")/1000000</f>
        <v>0</v>
      </c>
      <c r="F26" s="60">
        <f>SUMIFS(Dataset!H:H,Dataset!F:F,'retorno absoluto'!D11,Dataset!AH:AH,"fx forward", Dataset!T:T,"$")</f>
        <v>0</v>
      </c>
      <c r="G26" s="58">
        <f>SUMIFS(Dataset!AQ:AQ,Dataset!F:F,'retorno absoluto'!D11,Dataset!AH:AH,"fx forward", Dataset!T:T,"$")</f>
        <v>0</v>
      </c>
      <c r="H26" s="58">
        <f>SUMIFS(Dataset!I:I,Dataset!F:F,'retorno absoluto'!D11,Dataset!AH:AH,"fx forward", Dataset!T:T,"$")</f>
        <v>0</v>
      </c>
      <c r="I26" s="58">
        <f>SUMIFS(Dataset!AA:AA,Dataset!F:F,'retorno absoluto'!D11,Dataset!AH:AH,"fx forward", Dataset!T:T,"$")</f>
        <v>0</v>
      </c>
      <c r="N26" s="64"/>
    </row>
    <row r="27" spans="3:24" ht="44.25" customHeight="1" x14ac:dyDescent="0.5">
      <c r="C27" s="57" t="s">
        <v>115</v>
      </c>
      <c r="D27" s="58">
        <f>SUMIFS(Dataset!AK:AK,Dataset!F:F,'retorno absoluto'!D11,Dataset!AH:AH,"fx forward", Dataset!T:T,"UF")</f>
        <v>0</v>
      </c>
      <c r="E27" s="59">
        <f>SUMIFS(Dataset!V:V,Dataset!F:F,'retorno absoluto'!D11,Dataset!AH:AH,"fx forward", Dataset!T:T,"UF")/1000000</f>
        <v>0</v>
      </c>
      <c r="F27" s="60">
        <f>SUMIFS(Dataset!H:H,Dataset!F:F,'retorno absoluto'!D11,Dataset!AH:AH,"fx forward", Dataset!T:T,"UF")</f>
        <v>0</v>
      </c>
      <c r="G27" s="58">
        <f>SUMIFS(Dataset!AQ:AQ,Dataset!F:F,'retorno absoluto'!D11,Dataset!AH:AH,"fx forward", Dataset!T:T,"UF")</f>
        <v>0</v>
      </c>
      <c r="H27" s="58">
        <f>SUMIFS(Dataset!I:I,Dataset!F:F,'retorno absoluto'!D11,Dataset!AH:AH,"fx forward", Dataset!T:T,"UF")</f>
        <v>0</v>
      </c>
      <c r="I27" s="58">
        <f>SUMIFS(Dataset!AA:AA,Dataset!F:F,'retorno absoluto'!D11,Dataset!AH:AH,"fx forward", Dataset!T:T,"UF")</f>
        <v>0</v>
      </c>
    </row>
    <row r="28" spans="3:24" ht="35.25" customHeight="1" x14ac:dyDescent="0.5">
      <c r="C28" s="57" t="s">
        <v>96</v>
      </c>
      <c r="D28" s="58">
        <f>SUMIFS(Dataset!AK:AK,Dataset!F:F,'retorno absoluto'!D11,Dataset!AH:AH,"fx forward", Dataset!T:T,"us$")</f>
        <v>0</v>
      </c>
      <c r="E28" s="59">
        <f>SUMIFS(Dataset!V:V,Dataset!F:F,'retorno absoluto'!D11,Dataset!AH:AH,"fx forward", Dataset!T:T,"us$")/1000000</f>
        <v>0</v>
      </c>
      <c r="F28" s="60">
        <f>SUMIFS(Dataset!H:H,Dataset!F:F,'retorno absoluto'!D11,Dataset!AH:AH,"fx forward", Dataset!T:T,"us$")</f>
        <v>0</v>
      </c>
      <c r="G28" s="58">
        <f>SUMIFS(Dataset!AQ:AQ,Dataset!F:F,'retorno absoluto'!D11,Dataset!AH:AH,"fx forward", Dataset!T:T,"us$")</f>
        <v>0</v>
      </c>
      <c r="H28" s="58">
        <f>SUMIFS(Dataset!I:I,Dataset!F:F,'retorno absoluto'!D11,Dataset!AH:AH,"fx forward", Dataset!T:T,"us$")</f>
        <v>0</v>
      </c>
      <c r="I28" s="58">
        <f>SUMIFS(Dataset!AA:AA,Dataset!F:F,'retorno absoluto'!D11,Dataset!AH:AH,"fx forward", Dataset!T:T,"us$")</f>
        <v>0</v>
      </c>
    </row>
    <row r="29" spans="3:24" ht="48" customHeight="1" x14ac:dyDescent="0.5">
      <c r="C29" s="57" t="s">
        <v>88</v>
      </c>
      <c r="D29" s="58">
        <f>SUMIFS(Dataset!AK:AK,Dataset!F:F,'retorno absoluto'!D11,Dataset!AH:AH,"fx forward", Dataset!T:T,"eu")</f>
        <v>0</v>
      </c>
      <c r="E29" s="59">
        <f>SUMIFS(Dataset!V:V,Dataset!F:F,'retorno absoluto'!D11,Dataset!AH:AH,"fx forward", Dataset!T:T,"eu")/1000000</f>
        <v>0</v>
      </c>
      <c r="F29" s="60">
        <f>SUMIFS(Dataset!H:H,Dataset!F:F,'retorno absoluto'!D11,Dataset!AH:AH,"fx forward", Dataset!T:T,"eu")</f>
        <v>0</v>
      </c>
      <c r="G29" s="58">
        <f>SUMIFS(Dataset!AQ:AQ,Dataset!F:F,'retorno absoluto'!D11,Dataset!AH:AH,"fx forward", Dataset!T:T,"eu")</f>
        <v>0</v>
      </c>
      <c r="H29" s="58">
        <f>SUMIFS(Dataset!I:I,Dataset!F:F,'retorno absoluto'!D11,Dataset!AH:AH,"fx forward", Dataset!T:T,"eu")</f>
        <v>0</v>
      </c>
      <c r="I29" s="58">
        <f>SUMIFS(Dataset!AA:AA,Dataset!F:F,'retorno absoluto'!D11,Dataset!AH:AH,"fx forward", Dataset!T:T,"eu")</f>
        <v>0</v>
      </c>
      <c r="L29" s="176" t="s">
        <v>224</v>
      </c>
      <c r="M29" s="176"/>
      <c r="N29" s="176"/>
      <c r="O29" s="176"/>
      <c r="P29" s="176"/>
      <c r="Q29" s="176"/>
      <c r="R29" s="176"/>
    </row>
    <row r="30" spans="3:24" ht="48" customHeight="1" x14ac:dyDescent="0.5">
      <c r="C30" s="57" t="s">
        <v>97</v>
      </c>
      <c r="D30" s="58">
        <f>SUMIFS(Dataset!AK:AK,Dataset!F:F,'retorno absoluto'!D11,Dataset!AH:AH,"fx", Dataset!T:T,"$")</f>
        <v>0</v>
      </c>
      <c r="E30" s="59">
        <f>SUMIFS(Dataset!V:V,Dataset!F:F,'retorno absoluto'!D11,Dataset!AH:AH,"fx", Dataset!T:T,"$")/1000000</f>
        <v>0</v>
      </c>
      <c r="F30" s="60">
        <f>SUMIFS(Dataset!H:H,Dataset!F:F,'retorno absoluto'!D11,Dataset!AH:AH,"fx", Dataset!T:T,"$")</f>
        <v>0</v>
      </c>
      <c r="G30" s="58">
        <f>SUMIFS(Dataset!AQ:AQ,Dataset!F:F,'retorno absoluto'!D11,Dataset!AH:AH,"fx", Dataset!T:T,"$")</f>
        <v>0</v>
      </c>
      <c r="H30" s="58">
        <f>SUMIFS(Dataset!I:I,Dataset!F:F,'retorno absoluto'!D11,Dataset!AH:AH,"fx", Dataset!T:T,"$")</f>
        <v>0</v>
      </c>
      <c r="I30" s="58">
        <f>SUMIFS(Dataset!AA:AA,Dataset!F:F,'retorno absoluto'!D11,Dataset!AH:AH,"fx", Dataset!T:T,"$")</f>
        <v>0</v>
      </c>
    </row>
    <row r="31" spans="3:24" ht="33" customHeight="1" x14ac:dyDescent="0.5">
      <c r="C31" s="57" t="s">
        <v>98</v>
      </c>
      <c r="D31" s="58">
        <f>SUMIFS(Dataset!AK:AK,Dataset!F:F,'retorno absoluto'!D11,Dataset!AH:AH,"fx", Dataset!T:T,"us$")</f>
        <v>0</v>
      </c>
      <c r="E31" s="59">
        <f>SUMIFS(Dataset!V:V,Dataset!F:F,'retorno absoluto'!D11,Dataset!AH:AH,"fx", Dataset!T:T,"us$")/1000000</f>
        <v>0</v>
      </c>
      <c r="F31" s="60">
        <f>SUMIFS(Dataset!H:H,Dataset!F:F,'retorno absoluto'!D11,Dataset!AH:AH,"fx", Dataset!T:T,"us$")</f>
        <v>0</v>
      </c>
      <c r="G31" s="58">
        <f>SUMIFS(Dataset!AQ:AQ,Dataset!F:F,'retorno absoluto'!D11,Dataset!AH:AH,"fx", Dataset!T:T,"us$")</f>
        <v>0</v>
      </c>
      <c r="H31" s="58">
        <f>SUMIFS(Dataset!I:I,Dataset!F:F,'retorno absoluto'!D11,Dataset!AH:AH,"fx", Dataset!T:T,"us$")</f>
        <v>0</v>
      </c>
      <c r="I31" s="58">
        <f>SUMIFS(Dataset!AA:AA,Dataset!F:F,'retorno absoluto'!D11,Dataset!AH:AH,"fx", Dataset!T:T,"us$")</f>
        <v>0</v>
      </c>
      <c r="L31" s="55" t="s">
        <v>81</v>
      </c>
      <c r="M31" s="55" t="s">
        <v>82</v>
      </c>
      <c r="N31" s="55" t="s">
        <v>66</v>
      </c>
      <c r="O31" s="55" t="s">
        <v>6</v>
      </c>
      <c r="P31" s="55" t="s">
        <v>67</v>
      </c>
      <c r="Q31" s="55" t="s">
        <v>21</v>
      </c>
      <c r="R31" s="55" t="s">
        <v>68</v>
      </c>
    </row>
    <row r="32" spans="3:24" ht="42.75" customHeight="1" x14ac:dyDescent="0.5">
      <c r="C32" s="57" t="s">
        <v>89</v>
      </c>
      <c r="D32" s="58">
        <f>SUMIFS(Dataset!AK:AK,Dataset!F:F,'retorno absoluto'!D11,Dataset!AH:AH,"fx", Dataset!T:T,"eu")</f>
        <v>0</v>
      </c>
      <c r="E32" s="59">
        <f>SUMIFS(Dataset!V:V,Dataset!F:F,'retorno absoluto'!D11,Dataset!AH:AH,"fx", Dataset!T:T,"eu")/1000000</f>
        <v>0</v>
      </c>
      <c r="F32" s="60">
        <f>SUMIFS(Dataset!H:H,Dataset!F:F,'retorno absoluto'!D11,Dataset!AH:AH,"fx", Dataset!T:T,"eu")</f>
        <v>0</v>
      </c>
      <c r="G32" s="58">
        <f>SUMIFS(Dataset!AQ:AQ,Dataset!F:F,'retorno absoluto'!D11,Dataset!AH:AH,"fx", Dataset!T:T,"eu")</f>
        <v>0</v>
      </c>
      <c r="H32" s="58">
        <f>SUMIFS(Dataset!I:I,Dataset!F:F,'retorno absoluto'!D11,Dataset!AH:AH,"fx", Dataset!T:T,"eu")</f>
        <v>0</v>
      </c>
      <c r="I32" s="58">
        <f>SUMIFS(Dataset!AA:AA,Dataset!F:F,'retorno absoluto'!D11,Dataset!AH:AH,"fx", Dataset!T:T,"eu")</f>
        <v>0</v>
      </c>
      <c r="L32" s="61">
        <v>1</v>
      </c>
      <c r="M32" s="58" t="str">
        <f>IFERROR(INDEX(Dataset!G:G,MATCH(_xlfn.AGGREGATE(14,6,Dataset!I:I/(Dataset!F:F=$D$11),L32),Dataset!I:I,0),1),"-")</f>
        <v>-</v>
      </c>
      <c r="N32" s="58" t="str">
        <f>IFERROR(INDEX(Dataset!AK:AK,MATCH(_xlfn.AGGREGATE(14,6,Dataset!I:I/(Dataset!F:F=$D$11),L32),Dataset!I:I,0),1),"-")</f>
        <v>-</v>
      </c>
      <c r="O32" s="58" t="str">
        <f>IFERROR(INDEX(Dataset!I:I,MATCH(_xlfn.AGGREGATE(14,6,Dataset!I:I/(Dataset!F:F=$D$11),L32),Dataset!I:I,0),1),"-")</f>
        <v>-</v>
      </c>
      <c r="P32" s="58" t="e">
        <f>IFERROR(INDEX(Dataset!R:R,MATCH(_xlfn.AGGREGATE(14,6,Dataset!I:I/(Dataset!F:F=$D$11),L32),Dataset!I:I,0),1),"-")/100</f>
        <v>#VALUE!</v>
      </c>
      <c r="Q32" s="58" t="str">
        <f>IFERROR(INDEX(Dataset!AA:AA,MATCH(_xlfn.AGGREGATE(14,6,Dataset!I:I/(Dataset!F:F=$D$11),L32),Dataset!I:I,0),1),"-")</f>
        <v>-</v>
      </c>
      <c r="R32" s="60" t="str">
        <f>IFERROR(INDEX(Dataset!J:J,MATCH(_xlfn.AGGREGATE(14,6,Dataset!I:I/(Dataset!F:F=$D$11),L32),Dataset!I:I,0),1),"-")</f>
        <v>-</v>
      </c>
    </row>
    <row r="33" spans="3:25" ht="30" customHeight="1" x14ac:dyDescent="0.5">
      <c r="C33" s="57" t="s">
        <v>208</v>
      </c>
      <c r="D33" s="58">
        <f>SUMIFS(Dataset!AK:AK,Dataset!F:F,'retorno absoluto'!D11,Dataset!AH:AH,"Leverage")</f>
        <v>0</v>
      </c>
      <c r="E33" s="59">
        <f>SUMIFS(Dataset!V:V,Dataset!F:F,'retorno absoluto'!D11, Dataset!AH:AH,"Leverage")/1000000</f>
        <v>0</v>
      </c>
      <c r="F33" s="60">
        <f>SUMIFS(Dataset!H:H,Dataset!F:F,'retorno absoluto'!D11, Dataset!AH:AH,"Leverage")</f>
        <v>0</v>
      </c>
      <c r="G33" s="58">
        <f>SUMIFS(Dataset!AQ:AQ,Dataset!F:F,'retorno absoluto'!D11, Dataset!AH:AH,"Leverage")</f>
        <v>0</v>
      </c>
      <c r="H33" s="58">
        <f>SUMIFS(Dataset!I:I,Dataset!F:F,'retorno absoluto'!D11, Dataset!AH:AH,"Leverage")</f>
        <v>0</v>
      </c>
      <c r="I33" s="58">
        <f>SUMIFS(Dataset!AA:AA,Dataset!F:F,'retorno absoluto'!D11, Dataset!AH:AH,"Leverage")</f>
        <v>0</v>
      </c>
      <c r="L33" s="61">
        <v>2</v>
      </c>
      <c r="M33" s="58" t="str">
        <f>IFERROR(INDEX(Dataset!G:G,MATCH(_xlfn.AGGREGATE(14,6,Dataset!I:I/(Dataset!F:F=$D$11),L33),Dataset!I:I,0),1),"-")</f>
        <v>-</v>
      </c>
      <c r="N33" s="58" t="str">
        <f>IFERROR(INDEX(Dataset!AK:AK,MATCH(_xlfn.AGGREGATE(14,6,Dataset!I:I/(Dataset!F:F=$D$11),L33),Dataset!I:I,0),1),"-")</f>
        <v>-</v>
      </c>
      <c r="O33" s="58" t="str">
        <f>IFERROR(INDEX(Dataset!I:I,MATCH(_xlfn.AGGREGATE(14,6,Dataset!I:I/(Dataset!F:F=$D$11),L33),Dataset!I:I,0),1),"-")</f>
        <v>-</v>
      </c>
      <c r="P33" s="58" t="e">
        <f>IFERROR(INDEX(Dataset!R:R,MATCH(_xlfn.AGGREGATE(14,6,Dataset!I:I/(Dataset!F:F=$D$11),L33),Dataset!I:I,0),1),"-")/100</f>
        <v>#VALUE!</v>
      </c>
      <c r="Q33" s="58" t="str">
        <f>IFERROR(INDEX(Dataset!AA:AA,MATCH(_xlfn.AGGREGATE(14,6,Dataset!I:I/(Dataset!F:F=$D$11),L33),Dataset!I:I,0),1),"-")</f>
        <v>-</v>
      </c>
      <c r="R33" s="60" t="str">
        <f>IFERROR(INDEX(Dataset!J:J,MATCH(_xlfn.AGGREGATE(14,6,Dataset!I:I/(Dataset!F:F=$D$11),L33),Dataset!I:I,0),1),"-")</f>
        <v>-</v>
      </c>
    </row>
    <row r="34" spans="3:25" ht="42" customHeight="1" x14ac:dyDescent="0.5">
      <c r="C34" s="57" t="s">
        <v>37</v>
      </c>
      <c r="D34" s="58">
        <f>SUMIFS(Dataset!AK:AK,Dataset!F:F,'retorno absoluto'!D11,Dataset!AH:AH,"&lt;&gt;deposito",Dataset!AH:AH,"&lt;&gt;bono de gobierno",Dataset!AH:AH,"&lt;&gt;bono corporativo",Dataset!AH:AH,"&lt;&gt;factura",Dataset!AH:AH,"&lt;&gt;fx",Dataset!AH:AH,"&lt;&gt;fx forward",Dataset!AH:AH,"&lt;&gt;Leverage")</f>
        <v>0</v>
      </c>
      <c r="E34" s="59">
        <f>SUMIFS(Dataset!V:V,Dataset!F:F,'retorno absoluto'!D11,Dataset!AH:AH,"&lt;&gt;deposito",Dataset!AH:AH,"&lt;&gt;bono de gobierno",Dataset!AH:AH,"&lt;&gt;bono corporativo",Dataset!AH:AH,"&lt;&gt;factura",Dataset!AH:AH,"&lt;&gt;fx",Dataset!AH:AH,"&lt;&gt;fx forward",Dataset!AH:AH,"&lt;&gt;Leverage")/1000000</f>
        <v>0</v>
      </c>
      <c r="F34" s="60">
        <f>SUMIFS(Dataset!H:H,Dataset!F:F,'retorno absoluto'!D11,Dataset!AH:AH,"&lt;&gt;deposito",Dataset!AH:AH,"&lt;&gt;bono de gobierno",Dataset!AH:AH,"&lt;&gt;bono corporativo",Dataset!AH:AH,"&lt;&gt;factura",Dataset!AH:AH,"&lt;&gt;fx",Dataset!AH:AH,"&lt;&gt;fx forward",Dataset!AH:AH,"&lt;&gt;Leverage")</f>
        <v>0</v>
      </c>
      <c r="G34" s="58">
        <f>SUMIFS(Dataset!AQ:AQ,Dataset!F:F,'retorno absoluto'!D11,Dataset!AH:AH,"&lt;&gt;deposito",Dataset!AH:AH,"&lt;&gt;bono de gobierno",Dataset!AH:AH,"&lt;&gt;bono corporativo",Dataset!AH:AH,"&lt;&gt;factura",Dataset!AH:AH,"&lt;&gt;fx",Dataset!AH:AH,"&lt;&gt;fx forward",Dataset!AH:AH,"&lt;&gt;Leverage")</f>
        <v>0</v>
      </c>
      <c r="H34" s="58">
        <f>SUMIFS(Dataset!I:I,Dataset!F:F,'retorno absoluto'!D11,Dataset!AH:AH,"&lt;&gt;deposito",Dataset!AH:AH,"&lt;&gt;bono de gobierno",Dataset!AH:AH,"&lt;&gt;bono corporativo",Dataset!AH:AH,"&lt;&gt;factura",Dataset!AH:AH,"&lt;&gt;fx",Dataset!AH:AH,"&lt;&gt;fx forward",Dataset!AH:AH,"&lt;&gt;Leverage")</f>
        <v>0</v>
      </c>
      <c r="I34" s="58">
        <f>SUMIFS(Dataset!AA:AA,Dataset!F:F,'retorno absoluto'!D11,Dataset!AH:AH,"&lt;&gt;deposito",Dataset!AH:AH,"&lt;&gt;bono de gobierno",Dataset!AH:AH,"&lt;&gt;bono corporativo",Dataset!AH:AH,"&lt;&gt;factura",Dataset!AH:AH,"&lt;&gt;fx",Dataset!AH:AH,"&lt;&gt;fx forward",Dataset!AH:AH,"&lt;&gt;Leverage")</f>
        <v>0</v>
      </c>
      <c r="L34" s="61">
        <v>3</v>
      </c>
      <c r="M34" s="58" t="str">
        <f>IFERROR(INDEX(Dataset!G:G,MATCH(_xlfn.AGGREGATE(14,6,Dataset!I:I/(Dataset!F:F=$D$11),L34),Dataset!I:I,0),1),"-")</f>
        <v>-</v>
      </c>
      <c r="N34" s="58" t="str">
        <f>IFERROR(INDEX(Dataset!AK:AK,MATCH(_xlfn.AGGREGATE(14,6,Dataset!I:I/(Dataset!F:F=$D$11),L34),Dataset!I:I,0),1),"-")</f>
        <v>-</v>
      </c>
      <c r="O34" s="58" t="str">
        <f>IFERROR(INDEX(Dataset!I:I,MATCH(_xlfn.AGGREGATE(14,6,Dataset!I:I/(Dataset!F:F=$D$11),L34),Dataset!I:I,0),1),"-")</f>
        <v>-</v>
      </c>
      <c r="P34" s="58" t="e">
        <f>IFERROR(INDEX(Dataset!R:R,MATCH(_xlfn.AGGREGATE(14,6,Dataset!I:I/(Dataset!F:F=$D$11),L34),Dataset!I:I,0),1),"-")/100</f>
        <v>#VALUE!</v>
      </c>
      <c r="Q34" s="58" t="str">
        <f>IFERROR(INDEX(Dataset!AA:AA,MATCH(_xlfn.AGGREGATE(14,6,Dataset!I:I/(Dataset!F:F=$D$11),L34),Dataset!I:I,0),1),"-")</f>
        <v>-</v>
      </c>
      <c r="R34" s="60" t="str">
        <f>IFERROR(INDEX(Dataset!J:J,MATCH(_xlfn.AGGREGATE(14,6,Dataset!I:I/(Dataset!F:F=$D$11),L34),Dataset!I:I,0),1),"-")</f>
        <v>-</v>
      </c>
    </row>
    <row r="35" spans="3:25" ht="45.75" customHeight="1" x14ac:dyDescent="0.5">
      <c r="C35" s="65" t="s">
        <v>62</v>
      </c>
      <c r="D35" s="66">
        <f t="shared" ref="D35:I35" si="0">SUM(D15:D34)</f>
        <v>0</v>
      </c>
      <c r="E35" s="67">
        <f t="shared" si="0"/>
        <v>0</v>
      </c>
      <c r="F35" s="68">
        <f t="shared" si="0"/>
        <v>0</v>
      </c>
      <c r="G35" s="66">
        <f t="shared" si="0"/>
        <v>0</v>
      </c>
      <c r="H35" s="66">
        <f t="shared" si="0"/>
        <v>0</v>
      </c>
      <c r="I35" s="66">
        <f t="shared" si="0"/>
        <v>0</v>
      </c>
      <c r="L35" s="61">
        <v>4</v>
      </c>
      <c r="M35" s="58" t="str">
        <f>IFERROR(INDEX(Dataset!G:G,MATCH(_xlfn.AGGREGATE(14,6,Dataset!I:I/(Dataset!F:F=$D$11),L35),Dataset!I:I,0),1),"-")</f>
        <v>-</v>
      </c>
      <c r="N35" s="58" t="str">
        <f>IFERROR(INDEX(Dataset!AK:AK,MATCH(_xlfn.AGGREGATE(14,6,Dataset!I:I/(Dataset!F:F=$D$11),L35),Dataset!I:I,0),1),"-")</f>
        <v>-</v>
      </c>
      <c r="O35" s="58" t="str">
        <f>IFERROR(INDEX(Dataset!I:I,MATCH(_xlfn.AGGREGATE(14,6,Dataset!I:I/(Dataset!F:F=$D$11),L35),Dataset!I:I,0),1),"-")</f>
        <v>-</v>
      </c>
      <c r="P35" s="58" t="e">
        <f>IFERROR(INDEX(Dataset!R:R,MATCH(_xlfn.AGGREGATE(14,6,Dataset!I:I/(Dataset!F:F=$D$11),L35),Dataset!I:I,0),1),"-")/100</f>
        <v>#VALUE!</v>
      </c>
      <c r="Q35" s="58" t="str">
        <f>IFERROR(INDEX(Dataset!AA:AA,MATCH(_xlfn.AGGREGATE(14,6,Dataset!I:I/(Dataset!F:F=$D$11),L35),Dataset!I:I,0),1),"-")</f>
        <v>-</v>
      </c>
      <c r="R35" s="60" t="str">
        <f>IFERROR(INDEX(Dataset!J:J,MATCH(_xlfn.AGGREGATE(14,6,Dataset!I:I/(Dataset!F:F=$D$11),L35),Dataset!I:I,0),1),"-")</f>
        <v>-</v>
      </c>
    </row>
    <row r="36" spans="3:25" ht="36" customHeight="1" x14ac:dyDescent="0.5">
      <c r="L36" s="61">
        <v>5</v>
      </c>
      <c r="M36" s="58" t="str">
        <f>IFERROR(INDEX(Dataset!G:G,MATCH(_xlfn.AGGREGATE(14,6,Dataset!I:I/(Dataset!F:F=$D$11),L36),Dataset!I:I,0),1),"-")</f>
        <v>-</v>
      </c>
      <c r="N36" s="58" t="str">
        <f>IFERROR(INDEX(Dataset!AK:AK,MATCH(_xlfn.AGGREGATE(14,6,Dataset!I:I/(Dataset!F:F=$D$11),L36),Dataset!I:I,0),1),"-")</f>
        <v>-</v>
      </c>
      <c r="O36" s="58" t="str">
        <f>IFERROR(INDEX(Dataset!I:I,MATCH(_xlfn.AGGREGATE(14,6,Dataset!I:I/(Dataset!F:F=$D$11),L36),Dataset!I:I,0),1),"-")</f>
        <v>-</v>
      </c>
      <c r="P36" s="58" t="e">
        <f>IFERROR(INDEX(Dataset!R:R,MATCH(_xlfn.AGGREGATE(14,6,Dataset!I:I/(Dataset!F:F=$D$11),L36),Dataset!I:I,0),1),"-")/100</f>
        <v>#VALUE!</v>
      </c>
      <c r="Q36" s="58" t="str">
        <f>IFERROR(INDEX(Dataset!AA:AA,MATCH(_xlfn.AGGREGATE(14,6,Dataset!I:I/(Dataset!F:F=$D$11),L36),Dataset!I:I,0),1),"-")</f>
        <v>-</v>
      </c>
      <c r="R36" s="60" t="str">
        <f>IFERROR(INDEX(Dataset!J:J,MATCH(_xlfn.AGGREGATE(14,6,Dataset!I:I/(Dataset!F:F=$D$11),L36),Dataset!I:I,0),1),"-")</f>
        <v>-</v>
      </c>
    </row>
    <row r="37" spans="3:25" ht="33" customHeight="1" x14ac:dyDescent="0.5">
      <c r="C37" s="176" t="s">
        <v>222</v>
      </c>
      <c r="D37" s="176"/>
      <c r="E37" s="176"/>
      <c r="F37" s="176"/>
      <c r="G37" s="176"/>
      <c r="L37" s="61">
        <v>6</v>
      </c>
      <c r="M37" s="58" t="str">
        <f>IFERROR(INDEX(Dataset!G:G,MATCH(_xlfn.AGGREGATE(14,6,Dataset!I:I/(Dataset!F:F=$D$11),L37),Dataset!I:I,0),1),"-")</f>
        <v>-</v>
      </c>
      <c r="N37" s="58" t="str">
        <f>IFERROR(INDEX(Dataset!AK:AK,MATCH(_xlfn.AGGREGATE(14,6,Dataset!I:I/(Dataset!F:F=$D$11),L37),Dataset!I:I,0),1),"-")</f>
        <v>-</v>
      </c>
      <c r="O37" s="58" t="str">
        <f>IFERROR(INDEX(Dataset!I:I,MATCH(_xlfn.AGGREGATE(14,6,Dataset!I:I/(Dataset!F:F=$D$11),L37),Dataset!I:I,0),1),"-")</f>
        <v>-</v>
      </c>
      <c r="P37" s="58" t="e">
        <f>IFERROR(INDEX(Dataset!R:R,MATCH(_xlfn.AGGREGATE(14,6,Dataset!I:I/(Dataset!F:F=$D$11),L37),Dataset!I:I,0),1),"-")/100</f>
        <v>#VALUE!</v>
      </c>
      <c r="Q37" s="58" t="str">
        <f>IFERROR(INDEX(Dataset!AA:AA,MATCH(_xlfn.AGGREGATE(14,6,Dataset!I:I/(Dataset!F:F=$D$11),L37),Dataset!I:I,0),1),"-")</f>
        <v>-</v>
      </c>
      <c r="R37" s="60" t="str">
        <f>IFERROR(INDEX(Dataset!J:J,MATCH(_xlfn.AGGREGATE(14,6,Dataset!I:I/(Dataset!F:F=$D$11),L37),Dataset!I:I,0),1),"-")</f>
        <v>-</v>
      </c>
    </row>
    <row r="38" spans="3:25" ht="33" customHeight="1" x14ac:dyDescent="0.5">
      <c r="L38" s="61">
        <v>7</v>
      </c>
      <c r="M38" s="58" t="str">
        <f>IFERROR(INDEX(Dataset!G:G,MATCH(_xlfn.AGGREGATE(14,6,Dataset!I:I/(Dataset!F:F=$D$11),L38),Dataset!I:I,0),1),"-")</f>
        <v>-</v>
      </c>
      <c r="N38" s="58" t="str">
        <f>IFERROR(INDEX(Dataset!AK:AK,MATCH(_xlfn.AGGREGATE(14,6,Dataset!I:I/(Dataset!F:F=$D$11),L38),Dataset!I:I,0),1),"-")</f>
        <v>-</v>
      </c>
      <c r="O38" s="58" t="str">
        <f>IFERROR(INDEX(Dataset!I:I,MATCH(_xlfn.AGGREGATE(14,6,Dataset!I:I/(Dataset!F:F=$D$11),L38),Dataset!I:I,0),1),"-")</f>
        <v>-</v>
      </c>
      <c r="P38" s="58" t="e">
        <f>IFERROR(INDEX(Dataset!R:R,MATCH(_xlfn.AGGREGATE(14,6,Dataset!I:I/(Dataset!F:F=$D$11),L38),Dataset!I:I,0),1),"-")/100</f>
        <v>#VALUE!</v>
      </c>
      <c r="Q38" s="58" t="str">
        <f>IFERROR(INDEX(Dataset!AA:AA,MATCH(_xlfn.AGGREGATE(14,6,Dataset!I:I/(Dataset!F:F=$D$11),L38),Dataset!I:I,0),1),"-")</f>
        <v>-</v>
      </c>
      <c r="R38" s="60" t="str">
        <f>IFERROR(INDEX(Dataset!J:J,MATCH(_xlfn.AGGREGATE(14,6,Dataset!I:I/(Dataset!F:F=$D$11),L38),Dataset!I:I,0),1),"-")</f>
        <v>-</v>
      </c>
    </row>
    <row r="39" spans="3:25" ht="33" customHeight="1" x14ac:dyDescent="0.5">
      <c r="C39" s="53"/>
      <c r="D39" s="54" t="s">
        <v>66</v>
      </c>
      <c r="E39" s="54" t="s">
        <v>71</v>
      </c>
      <c r="F39" s="54" t="s">
        <v>6</v>
      </c>
      <c r="G39" s="54" t="s">
        <v>21</v>
      </c>
      <c r="L39" s="61">
        <v>8</v>
      </c>
      <c r="M39" s="58" t="str">
        <f>IFERROR(INDEX(Dataset!G:G,MATCH(_xlfn.AGGREGATE(14,6,Dataset!I:I/(Dataset!F:F=$D$11),L39),Dataset!I:I,0),1),"-")</f>
        <v>-</v>
      </c>
      <c r="N39" s="58" t="str">
        <f>IFERROR(INDEX(Dataset!AK:AK,MATCH(_xlfn.AGGREGATE(14,6,Dataset!I:I/(Dataset!F:F=$D$11),L39),Dataset!I:I,0),1),"-")</f>
        <v>-</v>
      </c>
      <c r="O39" s="58" t="str">
        <f>IFERROR(INDEX(Dataset!I:I,MATCH(_xlfn.AGGREGATE(14,6,Dataset!I:I/(Dataset!F:F=$D$11),L39),Dataset!I:I,0),1),"-")</f>
        <v>-</v>
      </c>
      <c r="P39" s="58" t="e">
        <f>IFERROR(INDEX(Dataset!R:R,MATCH(_xlfn.AGGREGATE(14,6,Dataset!I:I/(Dataset!F:F=$D$11),L39),Dataset!I:I,0),1),"-")/100</f>
        <v>#VALUE!</v>
      </c>
      <c r="Q39" s="58" t="str">
        <f>IFERROR(INDEX(Dataset!AA:AA,MATCH(_xlfn.AGGREGATE(14,6,Dataset!I:I/(Dataset!F:F=$D$11),L39),Dataset!I:I,0),1),"-")</f>
        <v>-</v>
      </c>
      <c r="R39" s="60" t="str">
        <f>IFERROR(INDEX(Dataset!J:J,MATCH(_xlfn.AGGREGATE(14,6,Dataset!I:I/(Dataset!F:F=$D$11),L39),Dataset!I:I,0),1),"-")</f>
        <v>-</v>
      </c>
    </row>
    <row r="40" spans="3:25" ht="45" customHeight="1" x14ac:dyDescent="0.5">
      <c r="C40" s="57" t="s">
        <v>39</v>
      </c>
      <c r="D40" s="58">
        <f>SUMIFS(Dataset!AK:AK,Dataset!F:F,'retorno absoluto'!$D$11,Dataset!T:T,$C40)</f>
        <v>0</v>
      </c>
      <c r="E40" s="59">
        <f>SUMIFS(Dataset!V:V,Dataset!F:F,'retorno absoluto'!$D$11,Dataset!T:T,$C40)/1000000</f>
        <v>0</v>
      </c>
      <c r="F40" s="58">
        <f>SUMIFS(Dataset!I:I,Dataset!F:F,'retorno absoluto'!$D$11,Dataset!T:T,$C40)</f>
        <v>0</v>
      </c>
      <c r="G40" s="58">
        <f>SUMIFS(Dataset!AA:AA,Dataset!F:F,'retorno absoluto'!$D$11,Dataset!T:T,$C40)</f>
        <v>0</v>
      </c>
      <c r="I40" s="52"/>
      <c r="J40" s="52"/>
      <c r="L40" s="61">
        <v>9</v>
      </c>
      <c r="M40" s="58" t="str">
        <f>IFERROR(INDEX(Dataset!G:G,MATCH(_xlfn.AGGREGATE(14,6,Dataset!I:I/(Dataset!F:F=$D$11),L40),Dataset!I:I,0),1),"-")</f>
        <v>-</v>
      </c>
      <c r="N40" s="58" t="str">
        <f>IFERROR(INDEX(Dataset!AK:AK,MATCH(_xlfn.AGGREGATE(14,6,Dataset!I:I/(Dataset!F:F=$D$11),L40),Dataset!I:I,0),1),"-")</f>
        <v>-</v>
      </c>
      <c r="O40" s="58" t="str">
        <f>IFERROR(INDEX(Dataset!I:I,MATCH(_xlfn.AGGREGATE(14,6,Dataset!I:I/(Dataset!F:F=$D$11),L40),Dataset!I:I,0),1),"-")</f>
        <v>-</v>
      </c>
      <c r="P40" s="58" t="e">
        <f>IFERROR(INDEX(Dataset!R:R,MATCH(_xlfn.AGGREGATE(14,6,Dataset!I:I/(Dataset!F:F=$D$11),L40),Dataset!I:I,0),1),"-")/100</f>
        <v>#VALUE!</v>
      </c>
      <c r="Q40" s="58" t="str">
        <f>IFERROR(INDEX(Dataset!AA:AA,MATCH(_xlfn.AGGREGATE(14,6,Dataset!I:I/(Dataset!F:F=$D$11),L40),Dataset!I:I,0),1),"-")</f>
        <v>-</v>
      </c>
      <c r="R40" s="60" t="str">
        <f>IFERROR(INDEX(Dataset!J:J,MATCH(_xlfn.AGGREGATE(14,6,Dataset!I:I/(Dataset!F:F=$D$11),L40),Dataset!I:I,0),1),"-")</f>
        <v>-</v>
      </c>
      <c r="T40" s="52"/>
      <c r="U40" s="52"/>
      <c r="V40" s="52"/>
      <c r="W40" s="52"/>
      <c r="X40" s="52"/>
      <c r="Y40" s="52"/>
    </row>
    <row r="41" spans="3:25" ht="36" customHeight="1" x14ac:dyDescent="0.5">
      <c r="C41" s="57" t="s">
        <v>32</v>
      </c>
      <c r="D41" s="58">
        <f>SUMIFS(Dataset!AK:AK,Dataset!F:F,'retorno absoluto'!$D$11,Dataset!T:T,$C41)</f>
        <v>0</v>
      </c>
      <c r="E41" s="59">
        <f>SUMIFS(Dataset!V:V,Dataset!F:F,'retorno absoluto'!$D$11,Dataset!T:T,$C41)/1000000</f>
        <v>0</v>
      </c>
      <c r="F41" s="58">
        <f>SUMIFS(Dataset!I:I,Dataset!F:F,'retorno absoluto'!$D$11,Dataset!T:T,$C41)</f>
        <v>0</v>
      </c>
      <c r="G41" s="58">
        <f>SUMIFS(Dataset!AA:AA,Dataset!F:F,'retorno absoluto'!$D$11,Dataset!T:T,$C41)</f>
        <v>0</v>
      </c>
      <c r="I41" s="52"/>
      <c r="J41" s="52"/>
      <c r="L41" s="61">
        <v>10</v>
      </c>
      <c r="M41" s="58" t="str">
        <f>IFERROR(INDEX(Dataset!G:G,MATCH(_xlfn.AGGREGATE(14,6,Dataset!I:I/(Dataset!F:F=$D$11),L41),Dataset!I:I,0),1),"-")</f>
        <v>-</v>
      </c>
      <c r="N41" s="58" t="str">
        <f>IFERROR(INDEX(Dataset!AK:AK,MATCH(_xlfn.AGGREGATE(14,6,Dataset!I:I/(Dataset!F:F=$D$11),L41),Dataset!I:I,0),1),"-")</f>
        <v>-</v>
      </c>
      <c r="O41" s="58" t="str">
        <f>IFERROR(INDEX(Dataset!I:I,MATCH(_xlfn.AGGREGATE(14,6,Dataset!I:I/(Dataset!F:F=$D$11),L41),Dataset!I:I,0),1),"-")</f>
        <v>-</v>
      </c>
      <c r="P41" s="58" t="e">
        <f>IFERROR(INDEX(Dataset!R:R,MATCH(_xlfn.AGGREGATE(14,6,Dataset!I:I/(Dataset!F:F=$D$11),L41),Dataset!I:I,0),1),"-")/100</f>
        <v>#VALUE!</v>
      </c>
      <c r="Q41" s="58" t="str">
        <f>IFERROR(INDEX(Dataset!AA:AA,MATCH(_xlfn.AGGREGATE(14,6,Dataset!I:I/(Dataset!F:F=$D$11),L41),Dataset!I:I,0),1),"-")</f>
        <v>-</v>
      </c>
      <c r="R41" s="60" t="str">
        <f>IFERROR(INDEX(Dataset!J:J,MATCH(_xlfn.AGGREGATE(14,6,Dataset!I:I/(Dataset!F:F=$D$11),L41),Dataset!I:I,0),1),"-")</f>
        <v>-</v>
      </c>
      <c r="T41" s="52"/>
      <c r="U41" s="52"/>
      <c r="V41" s="52"/>
      <c r="W41" s="52"/>
      <c r="X41" s="52"/>
      <c r="Y41" s="52"/>
    </row>
    <row r="42" spans="3:25" ht="41.25" customHeight="1" x14ac:dyDescent="0.5">
      <c r="C42" s="57" t="s">
        <v>30</v>
      </c>
      <c r="D42" s="58">
        <f>SUMIFS(Dataset!AK:AK,Dataset!F:F,'retorno absoluto'!$D$11,Dataset!T:T,$C42)</f>
        <v>0</v>
      </c>
      <c r="E42" s="59">
        <f>SUMIFS(Dataset!V:V,Dataset!F:F,'retorno absoluto'!$D$11,Dataset!T:T,$C42)/1000000</f>
        <v>0</v>
      </c>
      <c r="F42" s="58">
        <f>SUMIFS(Dataset!I:I,Dataset!F:F,'retorno absoluto'!$D$11,Dataset!T:T,$C42)</f>
        <v>0</v>
      </c>
      <c r="G42" s="58">
        <f>SUMIFS(Dataset!AA:AA,Dataset!F:F,'retorno absoluto'!$D$11,Dataset!T:T,$C42)</f>
        <v>0</v>
      </c>
    </row>
    <row r="43" spans="3:25" ht="39.75" customHeight="1" x14ac:dyDescent="0.5">
      <c r="C43" s="57" t="s">
        <v>47</v>
      </c>
      <c r="D43" s="58">
        <f>SUMIFS(Dataset!AK:AK,Dataset!F:F,'retorno absoluto'!$D$11,Dataset!T:T,$C43)</f>
        <v>0</v>
      </c>
      <c r="E43" s="59">
        <f>SUMIFS(Dataset!V:V,Dataset!F:F,'retorno absoluto'!$D$11,Dataset!T:T,$C43)/1000000</f>
        <v>0</v>
      </c>
      <c r="F43" s="58">
        <f>SUMIFS(Dataset!I:I,Dataset!F:F,'retorno absoluto'!$D$11,Dataset!T:T,$C43)</f>
        <v>0</v>
      </c>
      <c r="G43" s="58">
        <f>SUMIFS(Dataset!AA:AA,Dataset!F:F,'retorno absoluto'!$D$11,Dataset!T:T,$C43)</f>
        <v>0</v>
      </c>
    </row>
    <row r="44" spans="3:25" ht="30.75" customHeight="1" x14ac:dyDescent="0.5">
      <c r="C44" s="57" t="s">
        <v>141</v>
      </c>
      <c r="D44" s="58">
        <f>SUMIFS(Dataset!AK:AK,Dataset!F:F,'retorno absoluto'!$D$11,Dataset!T:T,$C44)</f>
        <v>0</v>
      </c>
      <c r="E44" s="59">
        <f>SUMIFS(Dataset!V:V,Dataset!F:F,'retorno absoluto'!$D$11,Dataset!T:T,$C44)/1000000</f>
        <v>0</v>
      </c>
      <c r="F44" s="58">
        <f>SUMIFS(Dataset!I:I,Dataset!F:F,'retorno absoluto'!$D$11,Dataset!T:T,$C44)</f>
        <v>0</v>
      </c>
      <c r="G44" s="58">
        <f>SUMIFS(Dataset!AA:AA,Dataset!F:F,'retorno absoluto'!$D$11,Dataset!T:T,$C44)</f>
        <v>0</v>
      </c>
    </row>
    <row r="45" spans="3:25" ht="34.5" customHeight="1" x14ac:dyDescent="0.5">
      <c r="C45" s="57" t="s">
        <v>164</v>
      </c>
      <c r="D45" s="58">
        <f>SUMIFS(Dataset!AK:AK,Dataset!F:F,'retorno absoluto'!$D$11,Dataset!T:T,$C45)</f>
        <v>0</v>
      </c>
      <c r="E45" s="59">
        <f>SUMIFS(Dataset!V:V,Dataset!F:F,'retorno absoluto'!$D$11,Dataset!T:T,$C45)/1000000</f>
        <v>0</v>
      </c>
      <c r="F45" s="58">
        <f>SUMIFS(Dataset!I:I,Dataset!F:F,'retorno absoluto'!$D$11,Dataset!T:T,$C45)</f>
        <v>0</v>
      </c>
      <c r="G45" s="58">
        <f>SUMIFS(Dataset!AA:AA,Dataset!F:F,'retorno absoluto'!$D$11,Dataset!T:T,$C45)</f>
        <v>0</v>
      </c>
    </row>
    <row r="46" spans="3:25" ht="43.5" customHeight="1" x14ac:dyDescent="0.5">
      <c r="C46" s="57" t="s">
        <v>205</v>
      </c>
      <c r="D46" s="58">
        <f>SUMIFS(Dataset!AK:AK,Dataset!F:F,'retorno absoluto'!$D$11,Dataset!T:T,$C46)</f>
        <v>0</v>
      </c>
      <c r="E46" s="59">
        <f>SUMIFS(Dataset!V:V,Dataset!F:F,'retorno absoluto'!$D$11,Dataset!T:T,$C46)/1000000</f>
        <v>0</v>
      </c>
      <c r="F46" s="58">
        <f>SUMIFS(Dataset!I:I,Dataset!F:F,'retorno absoluto'!$D$11,Dataset!T:T,$C46)</f>
        <v>0</v>
      </c>
      <c r="G46" s="58">
        <f>SUMIFS(Dataset!AA:AA,Dataset!F:F,'retorno absoluto'!$D$11,Dataset!T:T,$C46)</f>
        <v>0</v>
      </c>
    </row>
    <row r="47" spans="3:25" ht="39.75" customHeight="1" x14ac:dyDescent="0.5">
      <c r="C47" s="57" t="s">
        <v>208</v>
      </c>
      <c r="D47" s="58">
        <f>SUMIFS(Dataset!AK:AK,Dataset!F:F,'retorno absoluto'!$D$11,Dataset!T:T,$C47)</f>
        <v>0</v>
      </c>
      <c r="E47" s="59">
        <f>SUMIFS(Dataset!V:V,Dataset!F:F,'retorno absoluto'!$D$11,Dataset!T:T,$C47)/1000000</f>
        <v>0</v>
      </c>
      <c r="F47" s="58">
        <f>SUMIFS(Dataset!I:I,Dataset!F:F,'retorno absoluto'!$D$11,Dataset!T:T,$C47)</f>
        <v>0</v>
      </c>
      <c r="G47" s="58">
        <f>SUMIFS(Dataset!AA:AA,Dataset!F:F,'retorno absoluto'!$D$11,Dataset!T:T,$C47)</f>
        <v>0</v>
      </c>
    </row>
    <row r="48" spans="3:25" ht="48" customHeight="1" x14ac:dyDescent="0.3">
      <c r="C48" s="65" t="s">
        <v>62</v>
      </c>
      <c r="D48" s="66">
        <f>SUM(D40:D47)</f>
        <v>0</v>
      </c>
      <c r="E48" s="67">
        <f t="shared" ref="E48:G48" si="1">SUM(E40:E47)</f>
        <v>0</v>
      </c>
      <c r="F48" s="66">
        <f t="shared" si="1"/>
        <v>0</v>
      </c>
      <c r="G48" s="66">
        <f t="shared" si="1"/>
        <v>0</v>
      </c>
    </row>
    <row r="49" spans="3:35" ht="15" customHeight="1" x14ac:dyDescent="0.3"/>
    <row r="50" spans="3:35" ht="48" customHeight="1" x14ac:dyDescent="0.3">
      <c r="E50" s="176" t="s">
        <v>225</v>
      </c>
      <c r="F50" s="176"/>
      <c r="G50" s="176"/>
      <c r="H50" s="176"/>
      <c r="I50" s="176"/>
      <c r="J50" s="176"/>
      <c r="K50" s="176"/>
      <c r="L50" s="176"/>
      <c r="N50" s="176" t="s">
        <v>226</v>
      </c>
      <c r="O50" s="176"/>
      <c r="P50" s="176"/>
      <c r="Q50" s="176"/>
      <c r="R50" s="176"/>
      <c r="S50" s="176"/>
      <c r="T50" s="176"/>
      <c r="U50" s="176"/>
      <c r="W50" s="176" t="s">
        <v>227</v>
      </c>
      <c r="X50" s="176"/>
      <c r="Y50" s="176"/>
      <c r="Z50" s="176"/>
      <c r="AA50" s="176"/>
      <c r="AB50" s="176"/>
      <c r="AC50" s="176"/>
      <c r="AD50" s="176"/>
    </row>
    <row r="51" spans="3:35" ht="15" customHeight="1" x14ac:dyDescent="0.3">
      <c r="O51" s="69"/>
      <c r="P51" s="69"/>
      <c r="Q51" s="69"/>
      <c r="R51" s="69"/>
      <c r="S51" s="69"/>
      <c r="T51" s="69"/>
      <c r="U51" s="69"/>
      <c r="V51" s="70"/>
    </row>
    <row r="52" spans="3:35" ht="42" customHeight="1" x14ac:dyDescent="0.3">
      <c r="C52" s="177" t="s">
        <v>68</v>
      </c>
      <c r="D52" s="177"/>
      <c r="E52" s="71" t="s">
        <v>48</v>
      </c>
      <c r="F52" s="71" t="s">
        <v>42</v>
      </c>
      <c r="G52" s="71" t="s">
        <v>36</v>
      </c>
      <c r="H52" s="71" t="s">
        <v>33</v>
      </c>
      <c r="I52" s="71" t="s">
        <v>34</v>
      </c>
      <c r="J52" s="71" t="s">
        <v>51</v>
      </c>
      <c r="K52" s="71" t="s">
        <v>50</v>
      </c>
      <c r="L52" s="71" t="s">
        <v>79</v>
      </c>
      <c r="M52" s="71"/>
      <c r="N52" s="71" t="s">
        <v>48</v>
      </c>
      <c r="O52" s="71" t="s">
        <v>42</v>
      </c>
      <c r="P52" s="71" t="s">
        <v>36</v>
      </c>
      <c r="Q52" s="71" t="s">
        <v>33</v>
      </c>
      <c r="R52" s="71" t="s">
        <v>34</v>
      </c>
      <c r="S52" s="71" t="s">
        <v>51</v>
      </c>
      <c r="T52" s="71" t="s">
        <v>50</v>
      </c>
      <c r="U52" s="71" t="s">
        <v>79</v>
      </c>
      <c r="V52" s="71"/>
      <c r="W52" s="71" t="s">
        <v>48</v>
      </c>
      <c r="X52" s="71" t="s">
        <v>42</v>
      </c>
      <c r="Y52" s="71" t="s">
        <v>36</v>
      </c>
      <c r="Z52" s="71" t="s">
        <v>33</v>
      </c>
      <c r="AA52" s="71" t="s">
        <v>34</v>
      </c>
      <c r="AB52" s="71" t="s">
        <v>51</v>
      </c>
      <c r="AC52" s="71" t="s">
        <v>50</v>
      </c>
      <c r="AD52" s="71" t="s">
        <v>79</v>
      </c>
      <c r="AE52" s="71"/>
    </row>
    <row r="53" spans="3:35" ht="27" customHeight="1" x14ac:dyDescent="0.3">
      <c r="C53" s="72">
        <v>0</v>
      </c>
      <c r="D53" s="73">
        <v>0.5</v>
      </c>
      <c r="E53" s="74">
        <f>SUMIFS(Dataset!$AK:$AK,Dataset!$F:$F,'retorno absoluto'!$D$11,Dataset!$AC:$AC,E$52,Dataset!$J:$J,"&lt;"&amp;$D53,Dataset!J:J,"&gt;="&amp;$C53)</f>
        <v>0</v>
      </c>
      <c r="F53" s="75">
        <f>SUMIFS(Dataset!$AK:$AK,Dataset!$F:$F,'retorno absoluto'!$D$11,Dataset!$AC:$AC,F$52,Dataset!$J:$J,"&lt;"&amp;$D53,Dataset!J:J,"&gt;="&amp;$C53)</f>
        <v>0</v>
      </c>
      <c r="G53" s="75">
        <f>SUMIFS(Dataset!$AK:$AK,Dataset!$F:$F,'retorno absoluto'!$D$11,Dataset!$AC:$AC,G$52,Dataset!$J:$J,"&lt;"&amp;$D53,Dataset!J:J,"&gt;="&amp;$C53)</f>
        <v>0</v>
      </c>
      <c r="H53" s="75">
        <f>SUMIFS(Dataset!$AK:$AK,Dataset!$F:$F,'retorno absoluto'!$D$11,Dataset!$AC:$AC,H$52,Dataset!$J:$J,"&lt;"&amp;$D53,Dataset!J:J,"&gt;="&amp;$C53)</f>
        <v>0</v>
      </c>
      <c r="I53" s="75">
        <f>SUMIFS(Dataset!$AK:$AK,Dataset!$F:$F,'retorno absoluto'!$D$11,Dataset!$AC:$AC,I$52,Dataset!$J:$J,"&lt;"&amp;$D53,Dataset!J:J,"&gt;="&amp;$C53)</f>
        <v>0</v>
      </c>
      <c r="J53" s="75">
        <f>SUMIFS(Dataset!$AK:$AK,Dataset!$F:$F,'retorno absoluto'!$D$11,Dataset!$AC:$AC,"A",Dataset!$J:$J,"&lt;"&amp;$D53,Dataset!$J:$J,"&gt;="&amp;$C53)+SUMIFS(Dataset!$AK:$AK,Dataset!$F:$F,'retorno absoluto'!$D$11,Dataset!$AC:$AC,"A-",Dataset!$J:$J,"&lt;"&amp;$D53,Dataset!$J:$J,"&gt;="&amp;$C53)+SUMIFS(Dataset!$AK:$AK,Dataset!$F:$F,'retorno absoluto'!$D$11,Dataset!$AC:$AC,"A+",Dataset!$J:$J,"&lt;"&amp;$D53,Dataset!$J:$J,"&gt;="&amp;$C53)</f>
        <v>0</v>
      </c>
      <c r="K53" s="75">
        <f>SUMIFS(Dataset!$AK:$AK,Dataset!$F:$F,'retorno absoluto'!$D$11,Dataset!$AC:$AC,"BBB",Dataset!$J:$J,"&lt;"&amp;$D53,Dataset!$J:$J,"&gt;="&amp;$C53)+SUMIFS(Dataset!$AK:$AK,Dataset!$F:$F,'retorno absoluto'!$D$11,Dataset!$AC:$AC,"BBB-",Dataset!$J:$J,"&lt;"&amp;$D53,Dataset!$J:$J,"&gt;="&amp;$C53)+SUMIFS(Dataset!$AK:$AK,Dataset!$F:$F,'retorno absoluto'!$D$11,Dataset!$AC:$AC,"BBB+",Dataset!$J:$J,"&lt;"&amp;$D53,Dataset!$J:$J,"&gt;="&amp;$C53)</f>
        <v>0</v>
      </c>
      <c r="L53" s="75">
        <f>SUMIFS(Dataset!$AK:$AK,Dataset!$F:$F,'retorno absoluto'!$D$11,Dataset!$J:$J,"&lt;"&amp;$D53,Dataset!$J:$J,"&gt;="&amp;$C53,Dataset!$AC:$AC,"&lt;&gt;N-1+",Dataset!$AC:$AC,"&lt;&gt;*AA*",Dataset!$AC:$AC,"&lt;&gt;*AAA*",Dataset!$AC:$AC,"&lt;&gt;A",Dataset!$AC:$AC,"&lt;&gt;A-",Dataset!$AC:$AC,"&lt;&gt;A+",Dataset!$AC:$AC,"&lt;&gt;*BBB*")</f>
        <v>0</v>
      </c>
      <c r="M53" s="76">
        <f t="shared" ref="M53:M69" si="2">SUM(E53:L53)</f>
        <v>0</v>
      </c>
      <c r="N53" s="74">
        <f>SUMIFS(Dataset!$AA:$AA,Dataset!$F:$F,'retorno absoluto'!$D$11,Dataset!$AC:$AC,N$52,Dataset!$J:$J,"&lt;"&amp;$D53,Dataset!$J:$J,"&gt;="&amp;$C53)</f>
        <v>0</v>
      </c>
      <c r="O53" s="75">
        <f>SUMIFS(Dataset!$AA:$AA,Dataset!$F:$F,'retorno absoluto'!$D$11,Dataset!$AC:$AC,O$52,Dataset!$J:$J,"&lt;"&amp;$D53,Dataset!$J:$J,"&gt;="&amp;$C53)</f>
        <v>0</v>
      </c>
      <c r="P53" s="75">
        <f>SUMIFS(Dataset!$AA:$AA,Dataset!$F:$F,'retorno absoluto'!$D$11,Dataset!$AC:$AC,P$52,Dataset!$J:$J,"&lt;"&amp;$D53,Dataset!$J:$J,"&gt;="&amp;$C53)</f>
        <v>0</v>
      </c>
      <c r="Q53" s="75">
        <f>SUMIFS(Dataset!$AA:$AA,Dataset!$F:$F,'retorno absoluto'!$D$11,Dataset!$AC:$AC,Q$52,Dataset!$J:$J,"&lt;"&amp;$D53,Dataset!$J:$J,"&gt;="&amp;$C53)</f>
        <v>0</v>
      </c>
      <c r="R53" s="75">
        <f>SUMIFS(Dataset!$AA:$AA,Dataset!$F:$F,'retorno absoluto'!$D$11,Dataset!$AC:$AC,R$52,Dataset!$J:$J,"&lt;"&amp;$D53,Dataset!$J:$J,"&gt;="&amp;$C53)</f>
        <v>0</v>
      </c>
      <c r="S53" s="75">
        <f>SUMIFS(Dataset!$AA:$AA,Dataset!$F:$F,'retorno absoluto'!$D$11,Dataset!$AC:$AC,"A",Dataset!$J:$J,"&lt;"&amp;$D53,Dataset!$J:$J,"&gt;="&amp;$C53)+SUMIFS(Dataset!$AA:$AA,Dataset!$F:$F,'retorno absoluto'!$D$11,Dataset!$AC:$AC,"A-",Dataset!$J:$J,"&lt;"&amp;$D53,Dataset!$J:$J,"&gt;="&amp;$C53)+SUMIFS(Dataset!$AA:$AA,Dataset!$F:$F,'retorno absoluto'!$D$11,Dataset!$AC:$AC,"A+",Dataset!$J:$J,"&lt;"&amp;$D53,Dataset!$J:$J,"&gt;="&amp;$C53)</f>
        <v>0</v>
      </c>
      <c r="T53" s="75">
        <f>SUMIFS(Dataset!$AA:$AA,Dataset!$F:$F,'retorno absoluto'!$D$11,Dataset!$AC:$AC,"BBB-",Dataset!$J:$J,"&lt;"&amp;$D53,Dataset!$J:$J,"&gt;="&amp;$C53)+SUMIFS(Dataset!$AA:$AA,Dataset!$F:$F,'retorno absoluto'!$D$11,Dataset!$AC:$AC,"BBB",Dataset!$J:$J,"&lt;"&amp;$D53,Dataset!$J:$J,"&gt;="&amp;$C53)+SUMIFS(Dataset!$AA:$AA,Dataset!$F:$F,'retorno absoluto'!$D$11,Dataset!$AC:$AC,"BBB+",Dataset!$J:$J,"&lt;"&amp;$D53,Dataset!$J:$J,"&gt;="&amp;$C53)</f>
        <v>0</v>
      </c>
      <c r="U53" s="75">
        <f>SUMIFS(Dataset!$AA:$AA,Dataset!$F:$F,'retorno absoluto'!$D$11,Dataset!$J:$J,"&lt;"&amp;$D53,Dataset!$J:$J,"&gt;="&amp;$C53,Dataset!$AC:$AC,"&lt;&gt;N-1+",Dataset!$AC:$AC,"&lt;&gt;*AA*",Dataset!$AC:$AC,"&lt;&gt;*AAA*",Dataset!$AC:$AC,"&lt;&gt;A",Dataset!$AC:$AC,"&lt;&gt;A-",Dataset!$AC:$AC,"&lt;&gt;A+",Dataset!$AC:$AC,"&lt;&gt;*BBB*")</f>
        <v>0</v>
      </c>
      <c r="V53" s="76">
        <f t="shared" ref="V53:V68" si="3">SUM(N53:U53)</f>
        <v>0</v>
      </c>
      <c r="W53" s="77">
        <f>10*SUMIFS(Dataset!$H:$H,Dataset!$F:$F,'retorno absoluto'!$D$11,Dataset!$AC:$AC,W$52,Dataset!$J:$J,"&lt;"&amp;$D53,Dataset!J:J,"&gt;="&amp;$C53)</f>
        <v>0</v>
      </c>
      <c r="X53" s="78">
        <f>10*SUMIFS(Dataset!$H:$H,Dataset!$F:$F,'retorno absoluto'!$D$11,Dataset!$AC:$AC,X$52,Dataset!$J:$J,"&lt;"&amp;$D53,Dataset!J:J,"&gt;="&amp;$C53)</f>
        <v>0</v>
      </c>
      <c r="Y53" s="78">
        <f>10*SUMIFS(Dataset!$H:$H,Dataset!$F:$F,'retorno absoluto'!$D$11,Dataset!$AC:$AC,Y$52,Dataset!$J:$J,"&lt;"&amp;$D53,Dataset!J:J,"&gt;="&amp;$C53)</f>
        <v>0</v>
      </c>
      <c r="Z53" s="78">
        <f>10*SUMIFS(Dataset!$H:$H,Dataset!$F:$F,'retorno absoluto'!$D$11,Dataset!$AC:$AC,Z$52,Dataset!$J:$J,"&lt;"&amp;$D53,Dataset!J:J,"&gt;="&amp;$C53)</f>
        <v>0</v>
      </c>
      <c r="AA53" s="78">
        <f>10*SUMIFS(Dataset!$H:$H,Dataset!$F:$F,'retorno absoluto'!$D$11,Dataset!$AC:$AC,AA$52,Dataset!$J:$J,"&lt;"&amp;$D53,Dataset!J:J,"&gt;="&amp;$C53)</f>
        <v>0</v>
      </c>
      <c r="AB53" s="78">
        <f>10*SUMIFS(Dataset!$H:$H,Dataset!$F:$F,'retorno absoluto'!$D$11,Dataset!$AC:$AC,"A",Dataset!$J:$J,"&lt;"&amp;$D53,Dataset!$J:$J,"&gt;="&amp;$C53)+10*SUMIFS(Dataset!$H:$H,Dataset!$F:$F,'retorno absoluto'!$D$11,Dataset!$AC:$AC,"A-",Dataset!$J:$J,"&lt;"&amp;$D53,Dataset!$J:$J,"&gt;="&amp;$C53)+10*SUMIFS(Dataset!$H:$H,Dataset!$F:$F,'retorno absoluto'!$D$11,Dataset!$AC:$AC,"A+",Dataset!$J:$J,"&lt;"&amp;$D53,Dataset!$J:$J,"&gt;="&amp;$C53)</f>
        <v>0</v>
      </c>
      <c r="AC53" s="78">
        <f>10*SUMIFS(Dataset!$H:$H,Dataset!$F:$F,'retorno absoluto'!$D$11,Dataset!$AC:$AC,"BBB",Dataset!$J:$J,"&lt;"&amp;$D53,Dataset!$J:$J,"&gt;="&amp;$C53)+10*SUMIFS(Dataset!$H:$H,Dataset!$F:$F,'retorno absoluto'!$D$11,Dataset!$AC:$AC,"BBB-",Dataset!$J:$J,"&lt;"&amp;$D53,Dataset!$J:$J,"&gt;="&amp;$C53)+10*SUMIFS(Dataset!$H:$H,Dataset!$F:$F,'retorno absoluto'!$D$11,Dataset!$AC:$AC,"BBB+",Dataset!$J:$J,"&lt;"&amp;$D53,Dataset!$J:$J,"&gt;="&amp;$C53)</f>
        <v>0</v>
      </c>
      <c r="AD53" s="78">
        <f>10*SUMIFS(Dataset!$H:$H,Dataset!$F:$F,'retorno absoluto'!$D$11,Dataset!$J:$J,"&lt;"&amp;$D53,Dataset!$J:$J,"&gt;="&amp;$C53,Dataset!$AC:$AC,"&lt;&gt;N-1+",Dataset!$AC:$AC,"&lt;&gt;*AA*",Dataset!$AC:$AC,"&lt;&gt;*AAA*",Dataset!$AC:$AC,"&lt;&gt;A",Dataset!$AC:$AC,"&lt;&gt;A-",Dataset!$AC:$AC,"&lt;&gt;A+",Dataset!$AC:$AC,"&lt;&gt;*BBB*")</f>
        <v>0</v>
      </c>
      <c r="AE53" s="79">
        <f t="shared" ref="AE53:AE69" si="4">SUM(W53:AD53)</f>
        <v>0</v>
      </c>
      <c r="AI53" s="80"/>
    </row>
    <row r="54" spans="3:35" ht="27" customHeight="1" x14ac:dyDescent="0.3">
      <c r="C54" s="61">
        <v>0.5</v>
      </c>
      <c r="D54" s="81">
        <v>1.5</v>
      </c>
      <c r="E54" s="82">
        <f>SUMIFS(Dataset!$AK:$AK,Dataset!$F:$F,'retorno absoluto'!$D$11,Dataset!$AC:$AC,E$52,Dataset!$J:$J,"&lt;"&amp;$D54,Dataset!J:J,"&gt;="&amp;$C54)</f>
        <v>0</v>
      </c>
      <c r="F54" s="83">
        <f>SUMIFS(Dataset!$AK:$AK,Dataset!$F:$F,'retorno absoluto'!$D$11,Dataset!$AC:$AC,F$52,Dataset!$J:$J,"&lt;"&amp;$D54,Dataset!J:J,"&gt;="&amp;$C54)</f>
        <v>0</v>
      </c>
      <c r="G54" s="83">
        <f>SUMIFS(Dataset!$AK:$AK,Dataset!$F:$F,'retorno absoluto'!$D$11,Dataset!$AC:$AC,G$52,Dataset!$J:$J,"&lt;"&amp;$D54,Dataset!J:J,"&gt;="&amp;$C54)</f>
        <v>0</v>
      </c>
      <c r="H54" s="83">
        <f>SUMIFS(Dataset!$AK:$AK,Dataset!$F:$F,'retorno absoluto'!$D$11,Dataset!$AC:$AC,H$52,Dataset!$J:$J,"&lt;"&amp;$D54,Dataset!J:J,"&gt;="&amp;$C54)</f>
        <v>0</v>
      </c>
      <c r="I54" s="83">
        <f>SUMIFS(Dataset!$AK:$AK,Dataset!$F:$F,'retorno absoluto'!$D$11,Dataset!$AC:$AC,I$52,Dataset!$J:$J,"&lt;"&amp;$D54,Dataset!J:J,"&gt;="&amp;$C54)</f>
        <v>0</v>
      </c>
      <c r="J54" s="83">
        <f>SUMIFS(Dataset!$AK:$AK,Dataset!$F:$F,'retorno absoluto'!$D$11,Dataset!$AC:$AC,"A",Dataset!$J:$J,"&lt;"&amp;$D54,Dataset!$J:$J,"&gt;="&amp;$C54)+SUMIFS(Dataset!$AK:$AK,Dataset!$F:$F,'retorno absoluto'!$D$11,Dataset!$AC:$AC,"A-",Dataset!$J:$J,"&lt;"&amp;$D54,Dataset!$J:$J,"&gt;="&amp;$C54)+SUMIFS(Dataset!$AK:$AK,Dataset!$F:$F,'retorno absoluto'!$D$11,Dataset!$AC:$AC,"A+",Dataset!$J:$J,"&lt;"&amp;$D54,Dataset!$J:$J,"&gt;="&amp;$C54)</f>
        <v>0</v>
      </c>
      <c r="K54" s="83">
        <f>SUMIFS(Dataset!$AK:$AK,Dataset!$F:$F,'retorno absoluto'!$D$11,Dataset!$AC:$AC,"BBB",Dataset!$J:$J,"&lt;"&amp;$D54,Dataset!$J:$J,"&gt;="&amp;$C54)+SUMIFS(Dataset!$AK:$AK,Dataset!$F:$F,'retorno absoluto'!$D$11,Dataset!$AC:$AC,"BBB-",Dataset!$J:$J,"&lt;"&amp;$D54,Dataset!$J:$J,"&gt;="&amp;$C54)+SUMIFS(Dataset!$AK:$AK,Dataset!$F:$F,'retorno absoluto'!$D$11,Dataset!$AC:$AC,"BBB+",Dataset!$J:$J,"&lt;"&amp;$D54,Dataset!$J:$J,"&gt;="&amp;$C54)</f>
        <v>0</v>
      </c>
      <c r="L54" s="83">
        <f>SUMIFS(Dataset!$AK:$AK,Dataset!$F:$F,'retorno absoluto'!$D$11,Dataset!$J:$J,"&lt;"&amp;$D54,Dataset!$J:$J,"&gt;="&amp;$C54,Dataset!$AC:$AC,"&lt;&gt;N-1+",Dataset!$AC:$AC,"&lt;&gt;*AA*",Dataset!$AC:$AC,"&lt;&gt;*AAA*",Dataset!$AC:$AC,"&lt;&gt;A",Dataset!$AC:$AC,"&lt;&gt;A-",Dataset!$AC:$AC,"&lt;&gt;A+",Dataset!$AC:$AC,"&lt;&gt;*BBB*")</f>
        <v>0</v>
      </c>
      <c r="M54" s="84">
        <f t="shared" si="2"/>
        <v>0</v>
      </c>
      <c r="N54" s="82">
        <f>SUMIFS(Dataset!$AA:$AA,Dataset!$F:$F,'retorno absoluto'!$D$11,Dataset!$AC:$AC,N$52,Dataset!$J:$J,"&lt;"&amp;$D54,Dataset!$J:$J,"&gt;="&amp;$C54)</f>
        <v>0</v>
      </c>
      <c r="O54" s="83">
        <f>SUMIFS(Dataset!$AA:$AA,Dataset!$F:$F,'retorno absoluto'!$D$11,Dataset!$AC:$AC,O$52,Dataset!$J:$J,"&lt;"&amp;$D54,Dataset!$J:$J,"&gt;="&amp;$C54)</f>
        <v>0</v>
      </c>
      <c r="P54" s="83">
        <f>SUMIFS(Dataset!$AA:$AA,Dataset!$F:$F,'retorno absoluto'!$D$11,Dataset!$AC:$AC,P$52,Dataset!$J:$J,"&lt;"&amp;$D54,Dataset!$J:$J,"&gt;="&amp;$C54)</f>
        <v>0</v>
      </c>
      <c r="Q54" s="83">
        <f>SUMIFS(Dataset!$AA:$AA,Dataset!$F:$F,'retorno absoluto'!$D$11,Dataset!$AC:$AC,Q$52,Dataset!$J:$J,"&lt;"&amp;$D54,Dataset!$J:$J,"&gt;="&amp;$C54)</f>
        <v>0</v>
      </c>
      <c r="R54" s="83">
        <f>SUMIFS(Dataset!$AA:$AA,Dataset!$F:$F,'retorno absoluto'!$D$11,Dataset!$AC:$AC,R$52,Dataset!$J:$J,"&lt;"&amp;$D54,Dataset!$J:$J,"&gt;="&amp;$C54)</f>
        <v>0</v>
      </c>
      <c r="S54" s="83">
        <f>SUMIFS(Dataset!$AA:$AA,Dataset!$F:$F,'retorno absoluto'!$D$11,Dataset!$AC:$AC,"A",Dataset!$J:$J,"&lt;"&amp;$D54,Dataset!$J:$J,"&gt;="&amp;$C54)+SUMIFS(Dataset!$AA:$AA,Dataset!$F:$F,'retorno absoluto'!$D$11,Dataset!$AC:$AC,"A-",Dataset!$J:$J,"&lt;"&amp;$D54,Dataset!$J:$J,"&gt;="&amp;$C54)+SUMIFS(Dataset!$AA:$AA,Dataset!$F:$F,'retorno absoluto'!$D$11,Dataset!$AC:$AC,"A+",Dataset!$J:$J,"&lt;"&amp;$D54,Dataset!$J:$J,"&gt;="&amp;$C54)</f>
        <v>0</v>
      </c>
      <c r="T54" s="83">
        <f>SUMIFS(Dataset!$AA:$AA,Dataset!$F:$F,'retorno absoluto'!$D$11,Dataset!$AC:$AC,"BBB-",Dataset!$J:$J,"&lt;"&amp;$D54,Dataset!$J:$J,"&gt;="&amp;$C54)+SUMIFS(Dataset!$AA:$AA,Dataset!$F:$F,'retorno absoluto'!$D$11,Dataset!$AC:$AC,"BBB",Dataset!$J:$J,"&lt;"&amp;$D54,Dataset!$J:$J,"&gt;="&amp;$C54)+SUMIFS(Dataset!$AA:$AA,Dataset!$F:$F,'retorno absoluto'!$D$11,Dataset!$AC:$AC,"BBB+",Dataset!$J:$J,"&lt;"&amp;$D54,Dataset!$J:$J,"&gt;="&amp;$C54)</f>
        <v>0</v>
      </c>
      <c r="U54" s="83">
        <f>SUMIFS(Dataset!$AA:$AA,Dataset!$F:$F,'retorno absoluto'!$D$11,Dataset!$J:$J,"&lt;"&amp;$D54,Dataset!$J:$J,"&gt;="&amp;$C54,Dataset!$AC:$AC,"&lt;&gt;N-1+",Dataset!$AC:$AC,"&lt;&gt;*AA*",Dataset!$AC:$AC,"&lt;&gt;*AAA*",Dataset!$AC:$AC,"&lt;&gt;A",Dataset!$AC:$AC,"&lt;&gt;A-",Dataset!$AC:$AC,"&lt;&gt;A+",Dataset!$AC:$AC,"&lt;&gt;*BBB*")</f>
        <v>0</v>
      </c>
      <c r="V54" s="84">
        <f t="shared" si="3"/>
        <v>0</v>
      </c>
      <c r="W54" s="85">
        <f>10*SUMIFS(Dataset!$H:$H,Dataset!$F:$F,'retorno absoluto'!$D$11,Dataset!$AC:$AC,W$52,Dataset!$J:$J,"&lt;"&amp;$D54,Dataset!J:J,"&gt;="&amp;$C54)</f>
        <v>0</v>
      </c>
      <c r="X54" s="86">
        <f>10*SUMIFS(Dataset!$H:$H,Dataset!$F:$F,'retorno absoluto'!$D$11,Dataset!$AC:$AC,X$52,Dataset!$J:$J,"&lt;"&amp;$D54,Dataset!J:J,"&gt;="&amp;$C54)</f>
        <v>0</v>
      </c>
      <c r="Y54" s="86">
        <f>10*SUMIFS(Dataset!$H:$H,Dataset!$F:$F,'retorno absoluto'!$D$11,Dataset!$AC:$AC,Y$52,Dataset!$J:$J,"&lt;"&amp;$D54,Dataset!J:J,"&gt;="&amp;$C54)</f>
        <v>0</v>
      </c>
      <c r="Z54" s="86">
        <f>10*SUMIFS(Dataset!$H:$H,Dataset!$F:$F,'retorno absoluto'!$D$11,Dataset!$AC:$AC,Z$52,Dataset!$J:$J,"&lt;"&amp;$D54,Dataset!J:J,"&gt;="&amp;$C54)</f>
        <v>0</v>
      </c>
      <c r="AA54" s="86">
        <f>10*SUMIFS(Dataset!$H:$H,Dataset!$F:$F,'retorno absoluto'!$D$11,Dataset!$AC:$AC,AA$52,Dataset!$J:$J,"&lt;"&amp;$D54,Dataset!J:J,"&gt;="&amp;$C54)</f>
        <v>0</v>
      </c>
      <c r="AB54" s="86">
        <f>10*SUMIFS(Dataset!$H:$H,Dataset!$F:$F,'retorno absoluto'!$D$11,Dataset!$AC:$AC,"A",Dataset!$J:$J,"&lt;"&amp;$D54,Dataset!$J:$J,"&gt;="&amp;$C54)+10*SUMIFS(Dataset!$H:$H,Dataset!$F:$F,'retorno absoluto'!$D$11,Dataset!$AC:$AC,"A-",Dataset!$J:$J,"&lt;"&amp;$D54,Dataset!$J:$J,"&gt;="&amp;$C54)+10*SUMIFS(Dataset!$H:$H,Dataset!$F:$F,'retorno absoluto'!$D$11,Dataset!$AC:$AC,"A+",Dataset!$J:$J,"&lt;"&amp;$D54,Dataset!$J:$J,"&gt;="&amp;$C54)</f>
        <v>0</v>
      </c>
      <c r="AC54" s="86">
        <f>10*SUMIFS(Dataset!$H:$H,Dataset!$F:$F,'retorno absoluto'!$D$11,Dataset!$AC:$AC,"BBB",Dataset!$J:$J,"&lt;"&amp;$D54,Dataset!$J:$J,"&gt;="&amp;$C54)+10*SUMIFS(Dataset!$H:$H,Dataset!$F:$F,'retorno absoluto'!$D$11,Dataset!$AC:$AC,"BBB-",Dataset!$J:$J,"&lt;"&amp;$D54,Dataset!$J:$J,"&gt;="&amp;$C54)+10*SUMIFS(Dataset!$H:$H,Dataset!$F:$F,'retorno absoluto'!$D$11,Dataset!$AC:$AC,"BBB+",Dataset!$J:$J,"&lt;"&amp;$D54,Dataset!$J:$J,"&gt;="&amp;$C54)</f>
        <v>0</v>
      </c>
      <c r="AD54" s="86">
        <f>10*SUMIFS(Dataset!$H:$H,Dataset!$F:$F,'retorno absoluto'!$D$11,Dataset!$J:$J,"&lt;"&amp;$D54,Dataset!$J:$J,"&gt;="&amp;$C54,Dataset!$AC:$AC,"&lt;&gt;N-1+",Dataset!$AC:$AC,"&lt;&gt;*AA*",Dataset!$AC:$AC,"&lt;&gt;*AAA*",Dataset!$AC:$AC,"&lt;&gt;A",Dataset!$AC:$AC,"&lt;&gt;A-",Dataset!$AC:$AC,"&lt;&gt;A+",Dataset!$AC:$AC,"&lt;&gt;*BBB*")</f>
        <v>0</v>
      </c>
      <c r="AE54" s="87">
        <f t="shared" si="4"/>
        <v>0</v>
      </c>
    </row>
    <row r="55" spans="3:35" ht="39" customHeight="1" x14ac:dyDescent="0.3">
      <c r="C55" s="61">
        <v>1.5</v>
      </c>
      <c r="D55" s="81">
        <v>2.5</v>
      </c>
      <c r="E55" s="82">
        <f>SUMIFS(Dataset!$AK:$AK,Dataset!$F:$F,'retorno absoluto'!$D$11,Dataset!$AC:$AC,E$52,Dataset!$J:$J,"&lt;"&amp;$D55,Dataset!J:J,"&gt;="&amp;$C55)</f>
        <v>0</v>
      </c>
      <c r="F55" s="83">
        <f>SUMIFS(Dataset!$AK:$AK,Dataset!$F:$F,'retorno absoluto'!$D$11,Dataset!$AC:$AC,F$52,Dataset!$J:$J,"&lt;"&amp;$D55,Dataset!J:J,"&gt;="&amp;$C55)</f>
        <v>0</v>
      </c>
      <c r="G55" s="83">
        <f>SUMIFS(Dataset!$AK:$AK,Dataset!$F:$F,'retorno absoluto'!$D$11,Dataset!$AC:$AC,G$52,Dataset!$J:$J,"&lt;"&amp;$D55,Dataset!J:J,"&gt;="&amp;$C55)</f>
        <v>0</v>
      </c>
      <c r="H55" s="83">
        <f>SUMIFS(Dataset!$AK:$AK,Dataset!$F:$F,'retorno absoluto'!$D$11,Dataset!$AC:$AC,H$52,Dataset!$J:$J,"&lt;"&amp;$D55,Dataset!J:J,"&gt;="&amp;$C55)</f>
        <v>0</v>
      </c>
      <c r="I55" s="83">
        <f>SUMIFS(Dataset!$AK:$AK,Dataset!$F:$F,'retorno absoluto'!$D$11,Dataset!$AC:$AC,I$52,Dataset!$J:$J,"&lt;"&amp;$D55,Dataset!J:J,"&gt;="&amp;$C55)</f>
        <v>0</v>
      </c>
      <c r="J55" s="83">
        <f>SUMIFS(Dataset!$AK:$AK,Dataset!$F:$F,'retorno absoluto'!$D$11,Dataset!$AC:$AC,"A",Dataset!$J:$J,"&lt;"&amp;$D55,Dataset!$J:$J,"&gt;="&amp;$C55)+SUMIFS(Dataset!$AK:$AK,Dataset!$F:$F,'retorno absoluto'!$D$11,Dataset!$AC:$AC,"A-",Dataset!$J:$J,"&lt;"&amp;$D55,Dataset!$J:$J,"&gt;="&amp;$C55)+SUMIFS(Dataset!$AK:$AK,Dataset!$F:$F,'retorno absoluto'!$D$11,Dataset!$AC:$AC,"A+",Dataset!$J:$J,"&lt;"&amp;$D55,Dataset!$J:$J,"&gt;="&amp;$C55)</f>
        <v>0</v>
      </c>
      <c r="K55" s="83">
        <f>SUMIFS(Dataset!$AK:$AK,Dataset!$F:$F,'retorno absoluto'!$D$11,Dataset!$AC:$AC,"BBB",Dataset!$J:$J,"&lt;"&amp;$D55,Dataset!$J:$J,"&gt;="&amp;$C55)+SUMIFS(Dataset!$AK:$AK,Dataset!$F:$F,'retorno absoluto'!$D$11,Dataset!$AC:$AC,"BBB-",Dataset!$J:$J,"&lt;"&amp;$D55,Dataset!$J:$J,"&gt;="&amp;$C55)+SUMIFS(Dataset!$AK:$AK,Dataset!$F:$F,'retorno absoluto'!$D$11,Dataset!$AC:$AC,"BBB+",Dataset!$J:$J,"&lt;"&amp;$D55,Dataset!$J:$J,"&gt;="&amp;$C55)</f>
        <v>0</v>
      </c>
      <c r="L55" s="83">
        <f>SUMIFS(Dataset!$AK:$AK,Dataset!$F:$F,'retorno absoluto'!$D$11,Dataset!$J:$J,"&lt;"&amp;$D55,Dataset!$J:$J,"&gt;="&amp;$C55,Dataset!$AC:$AC,"&lt;&gt;N-1+",Dataset!$AC:$AC,"&lt;&gt;*AA*",Dataset!$AC:$AC,"&lt;&gt;*AAA*",Dataset!$AC:$AC,"&lt;&gt;A",Dataset!$AC:$AC,"&lt;&gt;A-",Dataset!$AC:$AC,"&lt;&gt;A+",Dataset!$AC:$AC,"&lt;&gt;*BBB*")</f>
        <v>0</v>
      </c>
      <c r="M55" s="84">
        <f t="shared" si="2"/>
        <v>0</v>
      </c>
      <c r="N55" s="82">
        <f>SUMIFS(Dataset!$AA:$AA,Dataset!$F:$F,'retorno absoluto'!$D$11,Dataset!$AC:$AC,N$52,Dataset!$J:$J,"&lt;"&amp;$D55,Dataset!$J:$J,"&gt;="&amp;$C55)</f>
        <v>0</v>
      </c>
      <c r="O55" s="83">
        <f>SUMIFS(Dataset!$AA:$AA,Dataset!$F:$F,'retorno absoluto'!$D$11,Dataset!$AC:$AC,O$52,Dataset!$J:$J,"&lt;"&amp;$D55,Dataset!$J:$J,"&gt;="&amp;$C55)</f>
        <v>0</v>
      </c>
      <c r="P55" s="83">
        <f>SUMIFS(Dataset!$AA:$AA,Dataset!$F:$F,'retorno absoluto'!$D$11,Dataset!$AC:$AC,P$52,Dataset!$J:$J,"&lt;"&amp;$D55,Dataset!$J:$J,"&gt;="&amp;$C55)</f>
        <v>0</v>
      </c>
      <c r="Q55" s="83">
        <f>SUMIFS(Dataset!$AA:$AA,Dataset!$F:$F,'retorno absoluto'!$D$11,Dataset!$AC:$AC,Q$52,Dataset!$J:$J,"&lt;"&amp;$D55,Dataset!$J:$J,"&gt;="&amp;$C55)</f>
        <v>0</v>
      </c>
      <c r="R55" s="83">
        <f>SUMIFS(Dataset!$AA:$AA,Dataset!$F:$F,'retorno absoluto'!$D$11,Dataset!$AC:$AC,R$52,Dataset!$J:$J,"&lt;"&amp;$D55,Dataset!$J:$J,"&gt;="&amp;$C55)</f>
        <v>0</v>
      </c>
      <c r="S55" s="83">
        <f>SUMIFS(Dataset!$AA:$AA,Dataset!$F:$F,'retorno absoluto'!$D$11,Dataset!$AC:$AC,"A",Dataset!$J:$J,"&lt;"&amp;$D55,Dataset!$J:$J,"&gt;="&amp;$C55)+SUMIFS(Dataset!$AA:$AA,Dataset!$F:$F,'retorno absoluto'!$D$11,Dataset!$AC:$AC,"A-",Dataset!$J:$J,"&lt;"&amp;$D55,Dataset!$J:$J,"&gt;="&amp;$C55)+SUMIFS(Dataset!$AA:$AA,Dataset!$F:$F,'retorno absoluto'!$D$11,Dataset!$AC:$AC,"A+",Dataset!$J:$J,"&lt;"&amp;$D55,Dataset!$J:$J,"&gt;="&amp;$C55)</f>
        <v>0</v>
      </c>
      <c r="T55" s="83">
        <f>SUMIFS(Dataset!$AA:$AA,Dataset!$F:$F,'retorno absoluto'!$D$11,Dataset!$AC:$AC,"BBB-",Dataset!$J:$J,"&lt;"&amp;$D55,Dataset!$J:$J,"&gt;="&amp;$C55)+SUMIFS(Dataset!$AA:$AA,Dataset!$F:$F,'retorno absoluto'!$D$11,Dataset!$AC:$AC,"BBB",Dataset!$J:$J,"&lt;"&amp;$D55,Dataset!$J:$J,"&gt;="&amp;$C55)+SUMIFS(Dataset!$AA:$AA,Dataset!$F:$F,'retorno absoluto'!$D$11,Dataset!$AC:$AC,"BBB+",Dataset!$J:$J,"&lt;"&amp;$D55,Dataset!$J:$J,"&gt;="&amp;$C55)</f>
        <v>0</v>
      </c>
      <c r="U55" s="83">
        <f>SUMIFS(Dataset!$AA:$AA,Dataset!$F:$F,'retorno absoluto'!$D$11,Dataset!$J:$J,"&lt;"&amp;$D55,Dataset!$J:$J,"&gt;="&amp;$C55,Dataset!$AC:$AC,"&lt;&gt;N-1+",Dataset!$AC:$AC,"&lt;&gt;*AA*",Dataset!$AC:$AC,"&lt;&gt;*AAA*",Dataset!$AC:$AC,"&lt;&gt;A",Dataset!$AC:$AC,"&lt;&gt;A-",Dataset!$AC:$AC,"&lt;&gt;A+",Dataset!$AC:$AC,"&lt;&gt;*BBB*")</f>
        <v>0</v>
      </c>
      <c r="V55" s="84">
        <f t="shared" si="3"/>
        <v>0</v>
      </c>
      <c r="W55" s="85">
        <f>10*SUMIFS(Dataset!$H:$H,Dataset!$F:$F,'retorno absoluto'!$D$11,Dataset!$AC:$AC,W$52,Dataset!$J:$J,"&lt;"&amp;$D55,Dataset!J:J,"&gt;="&amp;$C55)</f>
        <v>0</v>
      </c>
      <c r="X55" s="86">
        <f>10*SUMIFS(Dataset!$H:$H,Dataset!$F:$F,'retorno absoluto'!$D$11,Dataset!$AC:$AC,X$52,Dataset!$J:$J,"&lt;"&amp;$D55,Dataset!J:J,"&gt;="&amp;$C55)</f>
        <v>0</v>
      </c>
      <c r="Y55" s="86">
        <f>10*SUMIFS(Dataset!$H:$H,Dataset!$F:$F,'retorno absoluto'!$D$11,Dataset!$AC:$AC,Y$52,Dataset!$J:$J,"&lt;"&amp;$D55,Dataset!J:J,"&gt;="&amp;$C55)</f>
        <v>0</v>
      </c>
      <c r="Z55" s="86">
        <f>10*SUMIFS(Dataset!$H:$H,Dataset!$F:$F,'retorno absoluto'!$D$11,Dataset!$AC:$AC,Z$52,Dataset!$J:$J,"&lt;"&amp;$D55,Dataset!J:J,"&gt;="&amp;$C55)</f>
        <v>0</v>
      </c>
      <c r="AA55" s="86">
        <f>10*SUMIFS(Dataset!$H:$H,Dataset!$F:$F,'retorno absoluto'!$D$11,Dataset!$AC:$AC,AA$52,Dataset!$J:$J,"&lt;"&amp;$D55,Dataset!J:J,"&gt;="&amp;$C55)</f>
        <v>0</v>
      </c>
      <c r="AB55" s="86">
        <f>10*SUMIFS(Dataset!$H:$H,Dataset!$F:$F,'retorno absoluto'!$D$11,Dataset!$AC:$AC,"A",Dataset!$J:$J,"&lt;"&amp;$D55,Dataset!$J:$J,"&gt;="&amp;$C55)+10*SUMIFS(Dataset!$H:$H,Dataset!$F:$F,'retorno absoluto'!$D$11,Dataset!$AC:$AC,"A-",Dataset!$J:$J,"&lt;"&amp;$D55,Dataset!$J:$J,"&gt;="&amp;$C55)+10*SUMIFS(Dataset!$H:$H,Dataset!$F:$F,'retorno absoluto'!$D$11,Dataset!$AC:$AC,"A+",Dataset!$J:$J,"&lt;"&amp;$D55,Dataset!$J:$J,"&gt;="&amp;$C55)</f>
        <v>0</v>
      </c>
      <c r="AC55" s="86">
        <f>10*SUMIFS(Dataset!$H:$H,Dataset!$F:$F,'retorno absoluto'!$D$11,Dataset!$AC:$AC,"BBB",Dataset!$J:$J,"&lt;"&amp;$D55,Dataset!$J:$J,"&gt;="&amp;$C55)+10*SUMIFS(Dataset!$H:$H,Dataset!$F:$F,'retorno absoluto'!$D$11,Dataset!$AC:$AC,"BBB-",Dataset!$J:$J,"&lt;"&amp;$D55,Dataset!$J:$J,"&gt;="&amp;$C55)+10*SUMIFS(Dataset!$H:$H,Dataset!$F:$F,'retorno absoluto'!$D$11,Dataset!$AC:$AC,"BBB+",Dataset!$J:$J,"&lt;"&amp;$D55,Dataset!$J:$J,"&gt;="&amp;$C55)</f>
        <v>0</v>
      </c>
      <c r="AD55" s="86">
        <f>10*SUMIFS(Dataset!$H:$H,Dataset!$F:$F,'retorno absoluto'!$D$11,Dataset!$J:$J,"&lt;"&amp;$D55,Dataset!$J:$J,"&gt;="&amp;$C55,Dataset!$AC:$AC,"&lt;&gt;N-1+",Dataset!$AC:$AC,"&lt;&gt;*AA*",Dataset!$AC:$AC,"&lt;&gt;*AAA*",Dataset!$AC:$AC,"&lt;&gt;A",Dataset!$AC:$AC,"&lt;&gt;A-",Dataset!$AC:$AC,"&lt;&gt;A+",Dataset!$AC:$AC,"&lt;&gt;*BBB*")</f>
        <v>0</v>
      </c>
      <c r="AE55" s="87">
        <f t="shared" si="4"/>
        <v>0</v>
      </c>
    </row>
    <row r="56" spans="3:35" ht="35.25" customHeight="1" x14ac:dyDescent="0.3">
      <c r="C56" s="61">
        <v>2.5</v>
      </c>
      <c r="D56" s="81">
        <v>3.5</v>
      </c>
      <c r="E56" s="82">
        <f>SUMIFS(Dataset!$AK:$AK,Dataset!$F:$F,'retorno absoluto'!$D$11,Dataset!$AC:$AC,E$52,Dataset!$J:$J,"&lt;"&amp;$D56,Dataset!J:J,"&gt;="&amp;$C56)</f>
        <v>0</v>
      </c>
      <c r="F56" s="83">
        <f>SUMIFS(Dataset!$AK:$AK,Dataset!$F:$F,'retorno absoluto'!$D$11,Dataset!$AC:$AC,F$52,Dataset!$J:$J,"&lt;"&amp;$D56,Dataset!J:J,"&gt;="&amp;$C56)</f>
        <v>0</v>
      </c>
      <c r="G56" s="83">
        <f>SUMIFS(Dataset!$AK:$AK,Dataset!$F:$F,'retorno absoluto'!$D$11,Dataset!$AC:$AC,G$52,Dataset!$J:$J,"&lt;"&amp;$D56,Dataset!J:J,"&gt;="&amp;$C56)</f>
        <v>0</v>
      </c>
      <c r="H56" s="83">
        <f>SUMIFS(Dataset!$AK:$AK,Dataset!$F:$F,'retorno absoluto'!$D$11,Dataset!$AC:$AC,H$52,Dataset!$J:$J,"&lt;"&amp;$D56,Dataset!J:J,"&gt;="&amp;$C56)</f>
        <v>0</v>
      </c>
      <c r="I56" s="83">
        <f>SUMIFS(Dataset!$AK:$AK,Dataset!$F:$F,'retorno absoluto'!$D$11,Dataset!$AC:$AC,I$52,Dataset!$J:$J,"&lt;"&amp;$D56,Dataset!J:J,"&gt;="&amp;$C56)</f>
        <v>0</v>
      </c>
      <c r="J56" s="83">
        <f>SUMIFS(Dataset!$AK:$AK,Dataset!$F:$F,'retorno absoluto'!$D$11,Dataset!$AC:$AC,"A",Dataset!$J:$J,"&lt;"&amp;$D56,Dataset!$J:$J,"&gt;="&amp;$C56)+SUMIFS(Dataset!$AK:$AK,Dataset!$F:$F,'retorno absoluto'!$D$11,Dataset!$AC:$AC,"A-",Dataset!$J:$J,"&lt;"&amp;$D56,Dataset!$J:$J,"&gt;="&amp;$C56)+SUMIFS(Dataset!$AK:$AK,Dataset!$F:$F,'retorno absoluto'!$D$11,Dataset!$AC:$AC,"A+",Dataset!$J:$J,"&lt;"&amp;$D56,Dataset!$J:$J,"&gt;="&amp;$C56)</f>
        <v>0</v>
      </c>
      <c r="K56" s="83">
        <f>SUMIFS(Dataset!$AK:$AK,Dataset!$F:$F,'retorno absoluto'!$D$11,Dataset!$AC:$AC,"BBB",Dataset!$J:$J,"&lt;"&amp;$D56,Dataset!$J:$J,"&gt;="&amp;$C56)+SUMIFS(Dataset!$AK:$AK,Dataset!$F:$F,'retorno absoluto'!$D$11,Dataset!$AC:$AC,"BBB-",Dataset!$J:$J,"&lt;"&amp;$D56,Dataset!$J:$J,"&gt;="&amp;$C56)+SUMIFS(Dataset!$AK:$AK,Dataset!$F:$F,'retorno absoluto'!$D$11,Dataset!$AC:$AC,"BBB+",Dataset!$J:$J,"&lt;"&amp;$D56,Dataset!$J:$J,"&gt;="&amp;$C56)</f>
        <v>0</v>
      </c>
      <c r="L56" s="83">
        <f>SUMIFS(Dataset!$AK:$AK,Dataset!$F:$F,'retorno absoluto'!$D$11,Dataset!$J:$J,"&lt;"&amp;$D56,Dataset!$J:$J,"&gt;="&amp;$C56,Dataset!$AC:$AC,"&lt;&gt;N-1+",Dataset!$AC:$AC,"&lt;&gt;*AA*",Dataset!$AC:$AC,"&lt;&gt;*AAA*",Dataset!$AC:$AC,"&lt;&gt;A",Dataset!$AC:$AC,"&lt;&gt;A-",Dataset!$AC:$AC,"&lt;&gt;A+",Dataset!$AC:$AC,"&lt;&gt;*BBB*")</f>
        <v>0</v>
      </c>
      <c r="M56" s="84">
        <f t="shared" si="2"/>
        <v>0</v>
      </c>
      <c r="N56" s="82">
        <f>SUMIFS(Dataset!$AA:$AA,Dataset!$F:$F,'retorno absoluto'!$D$11,Dataset!$AC:$AC,N$52,Dataset!$J:$J,"&lt;"&amp;$D56,Dataset!$J:$J,"&gt;="&amp;$C56)</f>
        <v>0</v>
      </c>
      <c r="O56" s="83">
        <f>SUMIFS(Dataset!$AA:$AA,Dataset!$F:$F,'retorno absoluto'!$D$11,Dataset!$AC:$AC,O$52,Dataset!$J:$J,"&lt;"&amp;$D56,Dataset!$J:$J,"&gt;="&amp;$C56)</f>
        <v>0</v>
      </c>
      <c r="P56" s="83">
        <f>SUMIFS(Dataset!$AA:$AA,Dataset!$F:$F,'retorno absoluto'!$D$11,Dataset!$AC:$AC,P$52,Dataset!$J:$J,"&lt;"&amp;$D56,Dataset!$J:$J,"&gt;="&amp;$C56)</f>
        <v>0</v>
      </c>
      <c r="Q56" s="83">
        <f>SUMIFS(Dataset!$AA:$AA,Dataset!$F:$F,'retorno absoluto'!$D$11,Dataset!$AC:$AC,Q$52,Dataset!$J:$J,"&lt;"&amp;$D56,Dataset!$J:$J,"&gt;="&amp;$C56)</f>
        <v>0</v>
      </c>
      <c r="R56" s="83">
        <f>SUMIFS(Dataset!$AA:$AA,Dataset!$F:$F,'retorno absoluto'!$D$11,Dataset!$AC:$AC,R$52,Dataset!$J:$J,"&lt;"&amp;$D56,Dataset!$J:$J,"&gt;="&amp;$C56)</f>
        <v>0</v>
      </c>
      <c r="S56" s="83">
        <f>SUMIFS(Dataset!$AA:$AA,Dataset!$F:$F,'retorno absoluto'!$D$11,Dataset!$AC:$AC,"A",Dataset!$J:$J,"&lt;"&amp;$D56,Dataset!$J:$J,"&gt;="&amp;$C56)+SUMIFS(Dataset!$AA:$AA,Dataset!$F:$F,'retorno absoluto'!$D$11,Dataset!$AC:$AC,"A-",Dataset!$J:$J,"&lt;"&amp;$D56,Dataset!$J:$J,"&gt;="&amp;$C56)+SUMIFS(Dataset!$AA:$AA,Dataset!$F:$F,'retorno absoluto'!$D$11,Dataset!$AC:$AC,"A+",Dataset!$J:$J,"&lt;"&amp;$D56,Dataset!$J:$J,"&gt;="&amp;$C56)</f>
        <v>0</v>
      </c>
      <c r="T56" s="83">
        <f>SUMIFS(Dataset!$AA:$AA,Dataset!$F:$F,'retorno absoluto'!$D$11,Dataset!$AC:$AC,"BBB-",Dataset!$J:$J,"&lt;"&amp;$D56,Dataset!$J:$J,"&gt;="&amp;$C56)+SUMIFS(Dataset!$AA:$AA,Dataset!$F:$F,'retorno absoluto'!$D$11,Dataset!$AC:$AC,"BBB",Dataset!$J:$J,"&lt;"&amp;$D56,Dataset!$J:$J,"&gt;="&amp;$C56)+SUMIFS(Dataset!$AA:$AA,Dataset!$F:$F,'retorno absoluto'!$D$11,Dataset!$AC:$AC,"BBB+",Dataset!$J:$J,"&lt;"&amp;$D56,Dataset!$J:$J,"&gt;="&amp;$C56)</f>
        <v>0</v>
      </c>
      <c r="U56" s="83">
        <f>SUMIFS(Dataset!$AA:$AA,Dataset!$F:$F,'retorno absoluto'!$D$11,Dataset!$J:$J,"&lt;"&amp;$D56,Dataset!$J:$J,"&gt;="&amp;$C56,Dataset!$AC:$AC,"&lt;&gt;N-1+",Dataset!$AC:$AC,"&lt;&gt;*AA*",Dataset!$AC:$AC,"&lt;&gt;*AAA*",Dataset!$AC:$AC,"&lt;&gt;A",Dataset!$AC:$AC,"&lt;&gt;A-",Dataset!$AC:$AC,"&lt;&gt;A+",Dataset!$AC:$AC,"&lt;&gt;*BBB*")</f>
        <v>0</v>
      </c>
      <c r="V56" s="84">
        <f t="shared" si="3"/>
        <v>0</v>
      </c>
      <c r="W56" s="85">
        <f>10*SUMIFS(Dataset!$H:$H,Dataset!$F:$F,'retorno absoluto'!$D$11,Dataset!$AC:$AC,W$52,Dataset!$J:$J,"&lt;"&amp;$D56,Dataset!J:J,"&gt;="&amp;$C56)</f>
        <v>0</v>
      </c>
      <c r="X56" s="86">
        <f>10*SUMIFS(Dataset!$H:$H,Dataset!$F:$F,'retorno absoluto'!$D$11,Dataset!$AC:$AC,X$52,Dataset!$J:$J,"&lt;"&amp;$D56,Dataset!J:J,"&gt;="&amp;$C56)</f>
        <v>0</v>
      </c>
      <c r="Y56" s="86">
        <f>10*SUMIFS(Dataset!$H:$H,Dataset!$F:$F,'retorno absoluto'!$D$11,Dataset!$AC:$AC,Y$52,Dataset!$J:$J,"&lt;"&amp;$D56,Dataset!J:J,"&gt;="&amp;$C56)</f>
        <v>0</v>
      </c>
      <c r="Z56" s="86">
        <f>10*SUMIFS(Dataset!$H:$H,Dataset!$F:$F,'retorno absoluto'!$D$11,Dataset!$AC:$AC,Z$52,Dataset!$J:$J,"&lt;"&amp;$D56,Dataset!J:J,"&gt;="&amp;$C56)</f>
        <v>0</v>
      </c>
      <c r="AA56" s="86">
        <f>10*SUMIFS(Dataset!$H:$H,Dataset!$F:$F,'retorno absoluto'!$D$11,Dataset!$AC:$AC,AA$52,Dataset!$J:$J,"&lt;"&amp;$D56,Dataset!J:J,"&gt;="&amp;$C56)</f>
        <v>0</v>
      </c>
      <c r="AB56" s="86">
        <f>10*SUMIFS(Dataset!$H:$H,Dataset!$F:$F,'retorno absoluto'!$D$11,Dataset!$AC:$AC,"A",Dataset!$J:$J,"&lt;"&amp;$D56,Dataset!$J:$J,"&gt;="&amp;$C56)+10*SUMIFS(Dataset!$H:$H,Dataset!$F:$F,'retorno absoluto'!$D$11,Dataset!$AC:$AC,"A-",Dataset!$J:$J,"&lt;"&amp;$D56,Dataset!$J:$J,"&gt;="&amp;$C56)+10*SUMIFS(Dataset!$H:$H,Dataset!$F:$F,'retorno absoluto'!$D$11,Dataset!$AC:$AC,"A+",Dataset!$J:$J,"&lt;"&amp;$D56,Dataset!$J:$J,"&gt;="&amp;$C56)</f>
        <v>0</v>
      </c>
      <c r="AC56" s="86">
        <f>10*SUMIFS(Dataset!$H:$H,Dataset!$F:$F,'retorno absoluto'!$D$11,Dataset!$AC:$AC,"BBB",Dataset!$J:$J,"&lt;"&amp;$D56,Dataset!$J:$J,"&gt;="&amp;$C56)+10*SUMIFS(Dataset!$H:$H,Dataset!$F:$F,'retorno absoluto'!$D$11,Dataset!$AC:$AC,"BBB-",Dataset!$J:$J,"&lt;"&amp;$D56,Dataset!$J:$J,"&gt;="&amp;$C56)+10*SUMIFS(Dataset!$H:$H,Dataset!$F:$F,'retorno absoluto'!$D$11,Dataset!$AC:$AC,"BBB+",Dataset!$J:$J,"&lt;"&amp;$D56,Dataset!$J:$J,"&gt;="&amp;$C56)</f>
        <v>0</v>
      </c>
      <c r="AD56" s="86">
        <f>10*SUMIFS(Dataset!$H:$H,Dataset!$F:$F,'retorno absoluto'!$D$11,Dataset!$J:$J,"&lt;"&amp;$D56,Dataset!$J:$J,"&gt;="&amp;$C56,Dataset!$AC:$AC,"&lt;&gt;N-1+",Dataset!$AC:$AC,"&lt;&gt;*AA*",Dataset!$AC:$AC,"&lt;&gt;*AAA*",Dataset!$AC:$AC,"&lt;&gt;A",Dataset!$AC:$AC,"&lt;&gt;A-",Dataset!$AC:$AC,"&lt;&gt;A+",Dataset!$AC:$AC,"&lt;&gt;*BBB*")</f>
        <v>0</v>
      </c>
      <c r="AE56" s="87">
        <f t="shared" si="4"/>
        <v>0</v>
      </c>
    </row>
    <row r="57" spans="3:35" ht="27" customHeight="1" x14ac:dyDescent="0.3">
      <c r="C57" s="61">
        <v>3.5</v>
      </c>
      <c r="D57" s="81">
        <v>4.5</v>
      </c>
      <c r="E57" s="82">
        <f>SUMIFS(Dataset!$AK:$AK,Dataset!$F:$F,'retorno absoluto'!$D$11,Dataset!$AC:$AC,E$52,Dataset!$J:$J,"&lt;"&amp;$D57,Dataset!J:J,"&gt;="&amp;$C57)</f>
        <v>0</v>
      </c>
      <c r="F57" s="83">
        <f>SUMIFS(Dataset!$AK:$AK,Dataset!$F:$F,'retorno absoluto'!$D$11,Dataset!$AC:$AC,F$52,Dataset!$J:$J,"&lt;"&amp;$D57,Dataset!J:J,"&gt;="&amp;$C57)</f>
        <v>0</v>
      </c>
      <c r="G57" s="83">
        <f>SUMIFS(Dataset!$AK:$AK,Dataset!$F:$F,'retorno absoluto'!$D$11,Dataset!$AC:$AC,G$52,Dataset!$J:$J,"&lt;"&amp;$D57,Dataset!J:J,"&gt;="&amp;$C57)</f>
        <v>0</v>
      </c>
      <c r="H57" s="83">
        <f>SUMIFS(Dataset!$AK:$AK,Dataset!$F:$F,'retorno absoluto'!$D$11,Dataset!$AC:$AC,H$52,Dataset!$J:$J,"&lt;"&amp;$D57,Dataset!J:J,"&gt;="&amp;$C57)</f>
        <v>0</v>
      </c>
      <c r="I57" s="83">
        <f>SUMIFS(Dataset!$AK:$AK,Dataset!$F:$F,'retorno absoluto'!$D$11,Dataset!$AC:$AC,I$52,Dataset!$J:$J,"&lt;"&amp;$D57,Dataset!J:J,"&gt;="&amp;$C57)</f>
        <v>0</v>
      </c>
      <c r="J57" s="83">
        <f>SUMIFS(Dataset!$AK:$AK,Dataset!$F:$F,'retorno absoluto'!$D$11,Dataset!$AC:$AC,"A",Dataset!$J:$J,"&lt;"&amp;$D57,Dataset!$J:$J,"&gt;="&amp;$C57)+SUMIFS(Dataset!$AK:$AK,Dataset!$F:$F,'retorno absoluto'!$D$11,Dataset!$AC:$AC,"A-",Dataset!$J:$J,"&lt;"&amp;$D57,Dataset!$J:$J,"&gt;="&amp;$C57)+SUMIFS(Dataset!$AK:$AK,Dataset!$F:$F,'retorno absoluto'!$D$11,Dataset!$AC:$AC,"A+",Dataset!$J:$J,"&lt;"&amp;$D57,Dataset!$J:$J,"&gt;="&amp;$C57)</f>
        <v>0</v>
      </c>
      <c r="K57" s="83">
        <f>SUMIFS(Dataset!$AK:$AK,Dataset!$F:$F,'retorno absoluto'!$D$11,Dataset!$AC:$AC,"BBB",Dataset!$J:$J,"&lt;"&amp;$D57,Dataset!$J:$J,"&gt;="&amp;$C57)+SUMIFS(Dataset!$AK:$AK,Dataset!$F:$F,'retorno absoluto'!$D$11,Dataset!$AC:$AC,"BBB-",Dataset!$J:$J,"&lt;"&amp;$D57,Dataset!$J:$J,"&gt;="&amp;$C57)+SUMIFS(Dataset!$AK:$AK,Dataset!$F:$F,'retorno absoluto'!$D$11,Dataset!$AC:$AC,"BBB+",Dataset!$J:$J,"&lt;"&amp;$D57,Dataset!$J:$J,"&gt;="&amp;$C57)</f>
        <v>0</v>
      </c>
      <c r="L57" s="83">
        <f>SUMIFS(Dataset!$AK:$AK,Dataset!$F:$F,'retorno absoluto'!$D$11,Dataset!$J:$J,"&lt;"&amp;$D57,Dataset!$J:$J,"&gt;="&amp;$C57,Dataset!$AC:$AC,"&lt;&gt;N-1+",Dataset!$AC:$AC,"&lt;&gt;*AA*",Dataset!$AC:$AC,"&lt;&gt;*AAA*",Dataset!$AC:$AC,"&lt;&gt;A",Dataset!$AC:$AC,"&lt;&gt;A-",Dataset!$AC:$AC,"&lt;&gt;A+",Dataset!$AC:$AC,"&lt;&gt;*BBB*")</f>
        <v>0</v>
      </c>
      <c r="M57" s="84">
        <f t="shared" si="2"/>
        <v>0</v>
      </c>
      <c r="N57" s="82">
        <f>SUMIFS(Dataset!$AA:$AA,Dataset!$F:$F,'retorno absoluto'!$D$11,Dataset!$AC:$AC,N$52,Dataset!$J:$J,"&lt;"&amp;$D57,Dataset!$J:$J,"&gt;="&amp;$C57)</f>
        <v>0</v>
      </c>
      <c r="O57" s="83">
        <f>SUMIFS(Dataset!$AA:$AA,Dataset!$F:$F,'retorno absoluto'!$D$11,Dataset!$AC:$AC,O$52,Dataset!$J:$J,"&lt;"&amp;$D57,Dataset!$J:$J,"&gt;="&amp;$C57)</f>
        <v>0</v>
      </c>
      <c r="P57" s="83">
        <f>SUMIFS(Dataset!$AA:$AA,Dataset!$F:$F,'retorno absoluto'!$D$11,Dataset!$AC:$AC,P$52,Dataset!$J:$J,"&lt;"&amp;$D57,Dataset!$J:$J,"&gt;="&amp;$C57)</f>
        <v>0</v>
      </c>
      <c r="Q57" s="83">
        <f>SUMIFS(Dataset!$AA:$AA,Dataset!$F:$F,'retorno absoluto'!$D$11,Dataset!$AC:$AC,Q$52,Dataset!$J:$J,"&lt;"&amp;$D57,Dataset!$J:$J,"&gt;="&amp;$C57)</f>
        <v>0</v>
      </c>
      <c r="R57" s="83">
        <f>SUMIFS(Dataset!$AA:$AA,Dataset!$F:$F,'retorno absoluto'!$D$11,Dataset!$AC:$AC,R$52,Dataset!$J:$J,"&lt;"&amp;$D57,Dataset!$J:$J,"&gt;="&amp;$C57)</f>
        <v>0</v>
      </c>
      <c r="S57" s="83">
        <f>SUMIFS(Dataset!$AA:$AA,Dataset!$F:$F,'retorno absoluto'!$D$11,Dataset!$AC:$AC,"A",Dataset!$J:$J,"&lt;"&amp;$D57,Dataset!$J:$J,"&gt;="&amp;$C57)+SUMIFS(Dataset!$AA:$AA,Dataset!$F:$F,'retorno absoluto'!$D$11,Dataset!$AC:$AC,"A-",Dataset!$J:$J,"&lt;"&amp;$D57,Dataset!$J:$J,"&gt;="&amp;$C57)+SUMIFS(Dataset!$AA:$AA,Dataset!$F:$F,'retorno absoluto'!$D$11,Dataset!$AC:$AC,"A+",Dataset!$J:$J,"&lt;"&amp;$D57,Dataset!$J:$J,"&gt;="&amp;$C57)</f>
        <v>0</v>
      </c>
      <c r="T57" s="83">
        <f>SUMIFS(Dataset!$AA:$AA,Dataset!$F:$F,'retorno absoluto'!$D$11,Dataset!$AC:$AC,"BBB-",Dataset!$J:$J,"&lt;"&amp;$D57,Dataset!$J:$J,"&gt;="&amp;$C57)+SUMIFS(Dataset!$AA:$AA,Dataset!$F:$F,'retorno absoluto'!$D$11,Dataset!$AC:$AC,"BBB",Dataset!$J:$J,"&lt;"&amp;$D57,Dataset!$J:$J,"&gt;="&amp;$C57)+SUMIFS(Dataset!$AA:$AA,Dataset!$F:$F,'retorno absoluto'!$D$11,Dataset!$AC:$AC,"BBB+",Dataset!$J:$J,"&lt;"&amp;$D57,Dataset!$J:$J,"&gt;="&amp;$C57)</f>
        <v>0</v>
      </c>
      <c r="U57" s="83">
        <f>SUMIFS(Dataset!$AA:$AA,Dataset!$F:$F,'retorno absoluto'!$D$11,Dataset!$J:$J,"&lt;"&amp;$D57,Dataset!$J:$J,"&gt;="&amp;$C57,Dataset!$AC:$AC,"&lt;&gt;N-1+",Dataset!$AC:$AC,"&lt;&gt;*AA*",Dataset!$AC:$AC,"&lt;&gt;*AAA*",Dataset!$AC:$AC,"&lt;&gt;A",Dataset!$AC:$AC,"&lt;&gt;A-",Dataset!$AC:$AC,"&lt;&gt;A+",Dataset!$AC:$AC,"&lt;&gt;*BBB*")</f>
        <v>0</v>
      </c>
      <c r="V57" s="84">
        <f t="shared" si="3"/>
        <v>0</v>
      </c>
      <c r="W57" s="85">
        <f>10*SUMIFS(Dataset!$H:$H,Dataset!$F:$F,'retorno absoluto'!$D$11,Dataset!$AC:$AC,W$52,Dataset!$J:$J,"&lt;"&amp;$D57,Dataset!J:J,"&gt;="&amp;$C57)</f>
        <v>0</v>
      </c>
      <c r="X57" s="86">
        <f>10*SUMIFS(Dataset!$H:$H,Dataset!$F:$F,'retorno absoluto'!$D$11,Dataset!$AC:$AC,X$52,Dataset!$J:$J,"&lt;"&amp;$D57,Dataset!J:J,"&gt;="&amp;$C57)</f>
        <v>0</v>
      </c>
      <c r="Y57" s="86">
        <f>10*SUMIFS(Dataset!$H:$H,Dataset!$F:$F,'retorno absoluto'!$D$11,Dataset!$AC:$AC,Y$52,Dataset!$J:$J,"&lt;"&amp;$D57,Dataset!J:J,"&gt;="&amp;$C57)</f>
        <v>0</v>
      </c>
      <c r="Z57" s="86">
        <f>10*SUMIFS(Dataset!$H:$H,Dataset!$F:$F,'retorno absoluto'!$D$11,Dataset!$AC:$AC,Z$52,Dataset!$J:$J,"&lt;"&amp;$D57,Dataset!J:J,"&gt;="&amp;$C57)</f>
        <v>0</v>
      </c>
      <c r="AA57" s="86">
        <f>10*SUMIFS(Dataset!$H:$H,Dataset!$F:$F,'retorno absoluto'!$D$11,Dataset!$AC:$AC,AA$52,Dataset!$J:$J,"&lt;"&amp;$D57,Dataset!J:J,"&gt;="&amp;$C57)</f>
        <v>0</v>
      </c>
      <c r="AB57" s="86">
        <f>10*SUMIFS(Dataset!$H:$H,Dataset!$F:$F,'retorno absoluto'!$D$11,Dataset!$AC:$AC,"A",Dataset!$J:$J,"&lt;"&amp;$D57,Dataset!$J:$J,"&gt;="&amp;$C57)+10*SUMIFS(Dataset!$H:$H,Dataset!$F:$F,'retorno absoluto'!$D$11,Dataset!$AC:$AC,"A-",Dataset!$J:$J,"&lt;"&amp;$D57,Dataset!$J:$J,"&gt;="&amp;$C57)+10*SUMIFS(Dataset!$H:$H,Dataset!$F:$F,'retorno absoluto'!$D$11,Dataset!$AC:$AC,"A+",Dataset!$J:$J,"&lt;"&amp;$D57,Dataset!$J:$J,"&gt;="&amp;$C57)</f>
        <v>0</v>
      </c>
      <c r="AC57" s="86">
        <f>10*SUMIFS(Dataset!$H:$H,Dataset!$F:$F,'retorno absoluto'!$D$11,Dataset!$AC:$AC,"BBB",Dataset!$J:$J,"&lt;"&amp;$D57,Dataset!$J:$J,"&gt;="&amp;$C57)+10*SUMIFS(Dataset!$H:$H,Dataset!$F:$F,'retorno absoluto'!$D$11,Dataset!$AC:$AC,"BBB-",Dataset!$J:$J,"&lt;"&amp;$D57,Dataset!$J:$J,"&gt;="&amp;$C57)+10*SUMIFS(Dataset!$H:$H,Dataset!$F:$F,'retorno absoluto'!$D$11,Dataset!$AC:$AC,"BBB+",Dataset!$J:$J,"&lt;"&amp;$D57,Dataset!$J:$J,"&gt;="&amp;$C57)</f>
        <v>0</v>
      </c>
      <c r="AD57" s="86">
        <f>10*SUMIFS(Dataset!$H:$H,Dataset!$F:$F,'retorno absoluto'!$D$11,Dataset!$J:$J,"&lt;"&amp;$D57,Dataset!$J:$J,"&gt;="&amp;$C57,Dataset!$AC:$AC,"&lt;&gt;N-1+",Dataset!$AC:$AC,"&lt;&gt;*AA*",Dataset!$AC:$AC,"&lt;&gt;*AAA*",Dataset!$AC:$AC,"&lt;&gt;A",Dataset!$AC:$AC,"&lt;&gt;A-",Dataset!$AC:$AC,"&lt;&gt;A+",Dataset!$AC:$AC,"&lt;&gt;*BBB*")</f>
        <v>0</v>
      </c>
      <c r="AE57" s="87">
        <f t="shared" si="4"/>
        <v>0</v>
      </c>
    </row>
    <row r="58" spans="3:35" ht="33" customHeight="1" x14ac:dyDescent="0.3">
      <c r="C58" s="61">
        <v>4.5</v>
      </c>
      <c r="D58" s="81">
        <v>5.5</v>
      </c>
      <c r="E58" s="82">
        <f>SUMIFS(Dataset!$AK:$AK,Dataset!$F:$F,'retorno absoluto'!$D$11,Dataset!$AC:$AC,E$52,Dataset!$J:$J,"&lt;"&amp;$D58,Dataset!J:J,"&gt;="&amp;$C58)</f>
        <v>0</v>
      </c>
      <c r="F58" s="83">
        <f>SUMIFS(Dataset!$AK:$AK,Dataset!$F:$F,'retorno absoluto'!$D$11,Dataset!$AC:$AC,F$52,Dataset!$J:$J,"&lt;"&amp;$D58,Dataset!J:J,"&gt;="&amp;$C58)</f>
        <v>0</v>
      </c>
      <c r="G58" s="83">
        <f>SUMIFS(Dataset!$AK:$AK,Dataset!$F:$F,'retorno absoluto'!$D$11,Dataset!$AC:$AC,G$52,Dataset!$J:$J,"&lt;"&amp;$D58,Dataset!J:J,"&gt;="&amp;$C58)</f>
        <v>0</v>
      </c>
      <c r="H58" s="83">
        <f>SUMIFS(Dataset!$AK:$AK,Dataset!$F:$F,'retorno absoluto'!$D$11,Dataset!$AC:$AC,H$52,Dataset!$J:$J,"&lt;"&amp;$D58,Dataset!J:J,"&gt;="&amp;$C58)</f>
        <v>0</v>
      </c>
      <c r="I58" s="83">
        <f>SUMIFS(Dataset!$AK:$AK,Dataset!$F:$F,'retorno absoluto'!$D$11,Dataset!$AC:$AC,I$52,Dataset!$J:$J,"&lt;"&amp;$D58,Dataset!J:J,"&gt;="&amp;$C58)</f>
        <v>0</v>
      </c>
      <c r="J58" s="83">
        <f>SUMIFS(Dataset!$AK:$AK,Dataset!$F:$F,'retorno absoluto'!$D$11,Dataset!$AC:$AC,"A",Dataset!$J:$J,"&lt;"&amp;$D58,Dataset!$J:$J,"&gt;="&amp;$C58)+SUMIFS(Dataset!$AK:$AK,Dataset!$F:$F,'retorno absoluto'!$D$11,Dataset!$AC:$AC,"A-",Dataset!$J:$J,"&lt;"&amp;$D58,Dataset!$J:$J,"&gt;="&amp;$C58)+SUMIFS(Dataset!$AK:$AK,Dataset!$F:$F,'retorno absoluto'!$D$11,Dataset!$AC:$AC,"A+",Dataset!$J:$J,"&lt;"&amp;$D58,Dataset!$J:$J,"&gt;="&amp;$C58)</f>
        <v>0</v>
      </c>
      <c r="K58" s="83">
        <f>SUMIFS(Dataset!$AK:$AK,Dataset!$F:$F,'retorno absoluto'!$D$11,Dataset!$AC:$AC,"BBB",Dataset!$J:$J,"&lt;"&amp;$D58,Dataset!$J:$J,"&gt;="&amp;$C58)+SUMIFS(Dataset!$AK:$AK,Dataset!$F:$F,'retorno absoluto'!$D$11,Dataset!$AC:$AC,"BBB-",Dataset!$J:$J,"&lt;"&amp;$D58,Dataset!$J:$J,"&gt;="&amp;$C58)+SUMIFS(Dataset!$AK:$AK,Dataset!$F:$F,'retorno absoluto'!$D$11,Dataset!$AC:$AC,"BBB+",Dataset!$J:$J,"&lt;"&amp;$D58,Dataset!$J:$J,"&gt;="&amp;$C58)</f>
        <v>0</v>
      </c>
      <c r="L58" s="83">
        <f>SUMIFS(Dataset!$AK:$AK,Dataset!$F:$F,'retorno absoluto'!$D$11,Dataset!$J:$J,"&lt;"&amp;$D58,Dataset!$J:$J,"&gt;="&amp;$C58,Dataset!$AC:$AC,"&lt;&gt;N-1+",Dataset!$AC:$AC,"&lt;&gt;*AA*",Dataset!$AC:$AC,"&lt;&gt;*AAA*",Dataset!$AC:$AC,"&lt;&gt;A",Dataset!$AC:$AC,"&lt;&gt;A-",Dataset!$AC:$AC,"&lt;&gt;A+",Dataset!$AC:$AC,"&lt;&gt;*BBB*")</f>
        <v>0</v>
      </c>
      <c r="M58" s="84">
        <f t="shared" si="2"/>
        <v>0</v>
      </c>
      <c r="N58" s="82">
        <f>SUMIFS(Dataset!$AA:$AA,Dataset!$F:$F,'retorno absoluto'!$D$11,Dataset!$AC:$AC,N$52,Dataset!$J:$J,"&lt;"&amp;$D58,Dataset!$J:$J,"&gt;="&amp;$C58)</f>
        <v>0</v>
      </c>
      <c r="O58" s="83">
        <f>SUMIFS(Dataset!$AA:$AA,Dataset!$F:$F,'retorno absoluto'!$D$11,Dataset!$AC:$AC,O$52,Dataset!$J:$J,"&lt;"&amp;$D58,Dataset!$J:$J,"&gt;="&amp;$C58)</f>
        <v>0</v>
      </c>
      <c r="P58" s="83">
        <f>SUMIFS(Dataset!$AA:$AA,Dataset!$F:$F,'retorno absoluto'!$D$11,Dataset!$AC:$AC,P$52,Dataset!$J:$J,"&lt;"&amp;$D58,Dataset!$J:$J,"&gt;="&amp;$C58)</f>
        <v>0</v>
      </c>
      <c r="Q58" s="83">
        <f>SUMIFS(Dataset!$AA:$AA,Dataset!$F:$F,'retorno absoluto'!$D$11,Dataset!$AC:$AC,Q$52,Dataset!$J:$J,"&lt;"&amp;$D58,Dataset!$J:$J,"&gt;="&amp;$C58)</f>
        <v>0</v>
      </c>
      <c r="R58" s="83">
        <f>SUMIFS(Dataset!$AA:$AA,Dataset!$F:$F,'retorno absoluto'!$D$11,Dataset!$AC:$AC,R$52,Dataset!$J:$J,"&lt;"&amp;$D58,Dataset!$J:$J,"&gt;="&amp;$C58)</f>
        <v>0</v>
      </c>
      <c r="S58" s="83">
        <f>SUMIFS(Dataset!$AA:$AA,Dataset!$F:$F,'retorno absoluto'!$D$11,Dataset!$AC:$AC,"A",Dataset!$J:$J,"&lt;"&amp;$D58,Dataset!$J:$J,"&gt;="&amp;$C58)+SUMIFS(Dataset!$AA:$AA,Dataset!$F:$F,'retorno absoluto'!$D$11,Dataset!$AC:$AC,"A-",Dataset!$J:$J,"&lt;"&amp;$D58,Dataset!$J:$J,"&gt;="&amp;$C58)+SUMIFS(Dataset!$AA:$AA,Dataset!$F:$F,'retorno absoluto'!$D$11,Dataset!$AC:$AC,"A+",Dataset!$J:$J,"&lt;"&amp;$D58,Dataset!$J:$J,"&gt;="&amp;$C58)</f>
        <v>0</v>
      </c>
      <c r="T58" s="83">
        <f>SUMIFS(Dataset!$AA:$AA,Dataset!$F:$F,'retorno absoluto'!$D$11,Dataset!$AC:$AC,"BBB-",Dataset!$J:$J,"&lt;"&amp;$D58,Dataset!$J:$J,"&gt;="&amp;$C58)+SUMIFS(Dataset!$AA:$AA,Dataset!$F:$F,'retorno absoluto'!$D$11,Dataset!$AC:$AC,"BBB",Dataset!$J:$J,"&lt;"&amp;$D58,Dataset!$J:$J,"&gt;="&amp;$C58)+SUMIFS(Dataset!$AA:$AA,Dataset!$F:$F,'retorno absoluto'!$D$11,Dataset!$AC:$AC,"BBB+",Dataset!$J:$J,"&lt;"&amp;$D58,Dataset!$J:$J,"&gt;="&amp;$C58)</f>
        <v>0</v>
      </c>
      <c r="U58" s="83">
        <f>SUMIFS(Dataset!$AA:$AA,Dataset!$F:$F,'retorno absoluto'!$D$11,Dataset!$J:$J,"&lt;"&amp;$D58,Dataset!$J:$J,"&gt;="&amp;$C58,Dataset!$AC:$AC,"&lt;&gt;N-1+",Dataset!$AC:$AC,"&lt;&gt;*AA*",Dataset!$AC:$AC,"&lt;&gt;*AAA*",Dataset!$AC:$AC,"&lt;&gt;A",Dataset!$AC:$AC,"&lt;&gt;A-",Dataset!$AC:$AC,"&lt;&gt;A+",Dataset!$AC:$AC,"&lt;&gt;*BBB*")</f>
        <v>0</v>
      </c>
      <c r="V58" s="84">
        <f t="shared" si="3"/>
        <v>0</v>
      </c>
      <c r="W58" s="85">
        <f>10*SUMIFS(Dataset!$H:$H,Dataset!$F:$F,'retorno absoluto'!$D$11,Dataset!$AC:$AC,W$52,Dataset!$J:$J,"&lt;"&amp;$D58,Dataset!J:J,"&gt;="&amp;$C58)</f>
        <v>0</v>
      </c>
      <c r="X58" s="86">
        <f>10*SUMIFS(Dataset!$H:$H,Dataset!$F:$F,'retorno absoluto'!$D$11,Dataset!$AC:$AC,X$52,Dataset!$J:$J,"&lt;"&amp;$D58,Dataset!J:J,"&gt;="&amp;$C58)</f>
        <v>0</v>
      </c>
      <c r="Y58" s="86">
        <f>10*SUMIFS(Dataset!$H:$H,Dataset!$F:$F,'retorno absoluto'!$D$11,Dataset!$AC:$AC,Y$52,Dataset!$J:$J,"&lt;"&amp;$D58,Dataset!J:J,"&gt;="&amp;$C58)</f>
        <v>0</v>
      </c>
      <c r="Z58" s="86">
        <f>10*SUMIFS(Dataset!$H:$H,Dataset!$F:$F,'retorno absoluto'!$D$11,Dataset!$AC:$AC,Z$52,Dataset!$J:$J,"&lt;"&amp;$D58,Dataset!J:J,"&gt;="&amp;$C58)</f>
        <v>0</v>
      </c>
      <c r="AA58" s="86">
        <f>10*SUMIFS(Dataset!$H:$H,Dataset!$F:$F,'retorno absoluto'!$D$11,Dataset!$AC:$AC,AA$52,Dataset!$J:$J,"&lt;"&amp;$D58,Dataset!J:J,"&gt;="&amp;$C58)</f>
        <v>0</v>
      </c>
      <c r="AB58" s="86">
        <f>10*SUMIFS(Dataset!$H:$H,Dataset!$F:$F,'retorno absoluto'!$D$11,Dataset!$AC:$AC,"A",Dataset!$J:$J,"&lt;"&amp;$D58,Dataset!$J:$J,"&gt;="&amp;$C58)+10*SUMIFS(Dataset!$H:$H,Dataset!$F:$F,'retorno absoluto'!$D$11,Dataset!$AC:$AC,"A-",Dataset!$J:$J,"&lt;"&amp;$D58,Dataset!$J:$J,"&gt;="&amp;$C58)+10*SUMIFS(Dataset!$H:$H,Dataset!$F:$F,'retorno absoluto'!$D$11,Dataset!$AC:$AC,"A+",Dataset!$J:$J,"&lt;"&amp;$D58,Dataset!$J:$J,"&gt;="&amp;$C58)</f>
        <v>0</v>
      </c>
      <c r="AC58" s="86">
        <f>10*SUMIFS(Dataset!$H:$H,Dataset!$F:$F,'retorno absoluto'!$D$11,Dataset!$AC:$AC,"BBB",Dataset!$J:$J,"&lt;"&amp;$D58,Dataset!$J:$J,"&gt;="&amp;$C58)+10*SUMIFS(Dataset!$H:$H,Dataset!$F:$F,'retorno absoluto'!$D$11,Dataset!$AC:$AC,"BBB-",Dataset!$J:$J,"&lt;"&amp;$D58,Dataset!$J:$J,"&gt;="&amp;$C58)+10*SUMIFS(Dataset!$H:$H,Dataset!$F:$F,'retorno absoluto'!$D$11,Dataset!$AC:$AC,"BBB+",Dataset!$J:$J,"&lt;"&amp;$D58,Dataset!$J:$J,"&gt;="&amp;$C58)</f>
        <v>0</v>
      </c>
      <c r="AD58" s="86">
        <f>10*SUMIFS(Dataset!$H:$H,Dataset!$F:$F,'retorno absoluto'!$D$11,Dataset!$J:$J,"&lt;"&amp;$D58,Dataset!$J:$J,"&gt;="&amp;$C58,Dataset!$AC:$AC,"&lt;&gt;N-1+",Dataset!$AC:$AC,"&lt;&gt;*AA*",Dataset!$AC:$AC,"&lt;&gt;*AAA*",Dataset!$AC:$AC,"&lt;&gt;A",Dataset!$AC:$AC,"&lt;&gt;A-",Dataset!$AC:$AC,"&lt;&gt;A+",Dataset!$AC:$AC,"&lt;&gt;*BBB*")</f>
        <v>0</v>
      </c>
      <c r="AE58" s="87">
        <f t="shared" si="4"/>
        <v>0</v>
      </c>
    </row>
    <row r="59" spans="3:35" ht="33" customHeight="1" x14ac:dyDescent="0.3">
      <c r="C59" s="61">
        <v>5.5</v>
      </c>
      <c r="D59" s="81">
        <v>6.5</v>
      </c>
      <c r="E59" s="82">
        <f>SUMIFS(Dataset!$AK:$AK,Dataset!$F:$F,'retorno absoluto'!$D$11,Dataset!$AC:$AC,E$52,Dataset!$J:$J,"&lt;"&amp;$D59,Dataset!J:J,"&gt;="&amp;$C59)</f>
        <v>0</v>
      </c>
      <c r="F59" s="83">
        <f>SUMIFS(Dataset!$AK:$AK,Dataset!$F:$F,'retorno absoluto'!$D$11,Dataset!$AC:$AC,F$52,Dataset!$J:$J,"&lt;"&amp;$D59,Dataset!J:J,"&gt;="&amp;$C59)</f>
        <v>0</v>
      </c>
      <c r="G59" s="83">
        <f>SUMIFS(Dataset!$AK:$AK,Dataset!$F:$F,'retorno absoluto'!$D$11,Dataset!$AC:$AC,G$52,Dataset!$J:$J,"&lt;"&amp;$D59,Dataset!J:J,"&gt;="&amp;$C59)</f>
        <v>0</v>
      </c>
      <c r="H59" s="83">
        <f>SUMIFS(Dataset!$AK:$AK,Dataset!$F:$F,'retorno absoluto'!$D$11,Dataset!$AC:$AC,H$52,Dataset!$J:$J,"&lt;"&amp;$D59,Dataset!J:J,"&gt;="&amp;$C59)</f>
        <v>0</v>
      </c>
      <c r="I59" s="83">
        <f>SUMIFS(Dataset!$AK:$AK,Dataset!$F:$F,'retorno absoluto'!$D$11,Dataset!$AC:$AC,I$52,Dataset!$J:$J,"&lt;"&amp;$D59,Dataset!J:J,"&gt;="&amp;$C59)</f>
        <v>0</v>
      </c>
      <c r="J59" s="83">
        <f>SUMIFS(Dataset!$AK:$AK,Dataset!$F:$F,'retorno absoluto'!$D$11,Dataset!$AC:$AC,"A",Dataset!$J:$J,"&lt;"&amp;$D59,Dataset!$J:$J,"&gt;="&amp;$C59)+SUMIFS(Dataset!$AK:$AK,Dataset!$F:$F,'retorno absoluto'!$D$11,Dataset!$AC:$AC,"A-",Dataset!$J:$J,"&lt;"&amp;$D59,Dataset!$J:$J,"&gt;="&amp;$C59)+SUMIFS(Dataset!$AK:$AK,Dataset!$F:$F,'retorno absoluto'!$D$11,Dataset!$AC:$AC,"A+",Dataset!$J:$J,"&lt;"&amp;$D59,Dataset!$J:$J,"&gt;="&amp;$C59)</f>
        <v>0</v>
      </c>
      <c r="K59" s="83">
        <f>SUMIFS(Dataset!$AK:$AK,Dataset!$F:$F,'retorno absoluto'!$D$11,Dataset!$AC:$AC,"BBB",Dataset!$J:$J,"&lt;"&amp;$D59,Dataset!$J:$J,"&gt;="&amp;$C59)+SUMIFS(Dataset!$AK:$AK,Dataset!$F:$F,'retorno absoluto'!$D$11,Dataset!$AC:$AC,"BBB-",Dataset!$J:$J,"&lt;"&amp;$D59,Dataset!$J:$J,"&gt;="&amp;$C59)+SUMIFS(Dataset!$AK:$AK,Dataset!$F:$F,'retorno absoluto'!$D$11,Dataset!$AC:$AC,"BBB+",Dataset!$J:$J,"&lt;"&amp;$D59,Dataset!$J:$J,"&gt;="&amp;$C59)</f>
        <v>0</v>
      </c>
      <c r="L59" s="83">
        <f>SUMIFS(Dataset!$AK:$AK,Dataset!$F:$F,'retorno absoluto'!$D$11,Dataset!$J:$J,"&lt;"&amp;$D59,Dataset!$J:$J,"&gt;="&amp;$C59,Dataset!$AC:$AC,"&lt;&gt;N-1+",Dataset!$AC:$AC,"&lt;&gt;*AA*",Dataset!$AC:$AC,"&lt;&gt;*AAA*",Dataset!$AC:$AC,"&lt;&gt;A",Dataset!$AC:$AC,"&lt;&gt;A-",Dataset!$AC:$AC,"&lt;&gt;A+",Dataset!$AC:$AC,"&lt;&gt;*BBB*")</f>
        <v>0</v>
      </c>
      <c r="M59" s="84">
        <f t="shared" si="2"/>
        <v>0</v>
      </c>
      <c r="N59" s="82">
        <f>SUMIFS(Dataset!$AA:$AA,Dataset!$F:$F,'retorno absoluto'!$D$11,Dataset!$AC:$AC,N$52,Dataset!$J:$J,"&lt;"&amp;$D59,Dataset!$J:$J,"&gt;="&amp;$C59)</f>
        <v>0</v>
      </c>
      <c r="O59" s="83">
        <f>SUMIFS(Dataset!$AA:$AA,Dataset!$F:$F,'retorno absoluto'!$D$11,Dataset!$AC:$AC,O$52,Dataset!$J:$J,"&lt;"&amp;$D59,Dataset!$J:$J,"&gt;="&amp;$C59)</f>
        <v>0</v>
      </c>
      <c r="P59" s="83">
        <f>SUMIFS(Dataset!$AA:$AA,Dataset!$F:$F,'retorno absoluto'!$D$11,Dataset!$AC:$AC,P$52,Dataset!$J:$J,"&lt;"&amp;$D59,Dataset!$J:$J,"&gt;="&amp;$C59)</f>
        <v>0</v>
      </c>
      <c r="Q59" s="83">
        <f>SUMIFS(Dataset!$AA:$AA,Dataset!$F:$F,'retorno absoluto'!$D$11,Dataset!$AC:$AC,Q$52,Dataset!$J:$J,"&lt;"&amp;$D59,Dataset!$J:$J,"&gt;="&amp;$C59)</f>
        <v>0</v>
      </c>
      <c r="R59" s="83">
        <f>SUMIFS(Dataset!$AA:$AA,Dataset!$F:$F,'retorno absoluto'!$D$11,Dataset!$AC:$AC,R$52,Dataset!$J:$J,"&lt;"&amp;$D59,Dataset!$J:$J,"&gt;="&amp;$C59)</f>
        <v>0</v>
      </c>
      <c r="S59" s="83">
        <f>SUMIFS(Dataset!$AA:$AA,Dataset!$F:$F,'retorno absoluto'!$D$11,Dataset!$AC:$AC,"A",Dataset!$J:$J,"&lt;"&amp;$D59,Dataset!$J:$J,"&gt;="&amp;$C59)+SUMIFS(Dataset!$AA:$AA,Dataset!$F:$F,'retorno absoluto'!$D$11,Dataset!$AC:$AC,"A-",Dataset!$J:$J,"&lt;"&amp;$D59,Dataset!$J:$J,"&gt;="&amp;$C59)+SUMIFS(Dataset!$AA:$AA,Dataset!$F:$F,'retorno absoluto'!$D$11,Dataset!$AC:$AC,"A+",Dataset!$J:$J,"&lt;"&amp;$D59,Dataset!$J:$J,"&gt;="&amp;$C59)</f>
        <v>0</v>
      </c>
      <c r="T59" s="83">
        <f>SUMIFS(Dataset!$AA:$AA,Dataset!$F:$F,'retorno absoluto'!$D$11,Dataset!$AC:$AC,"BBB-",Dataset!$J:$J,"&lt;"&amp;$D59,Dataset!$J:$J,"&gt;="&amp;$C59)+SUMIFS(Dataset!$AA:$AA,Dataset!$F:$F,'retorno absoluto'!$D$11,Dataset!$AC:$AC,"BBB",Dataset!$J:$J,"&lt;"&amp;$D59,Dataset!$J:$J,"&gt;="&amp;$C59)+SUMIFS(Dataset!$AA:$AA,Dataset!$F:$F,'retorno absoluto'!$D$11,Dataset!$AC:$AC,"BBB+",Dataset!$J:$J,"&lt;"&amp;$D59,Dataset!$J:$J,"&gt;="&amp;$C59)</f>
        <v>0</v>
      </c>
      <c r="U59" s="83">
        <f>SUMIFS(Dataset!$AA:$AA,Dataset!$F:$F,'retorno absoluto'!$D$11,Dataset!$J:$J,"&lt;"&amp;$D59,Dataset!$J:$J,"&gt;="&amp;$C59,Dataset!$AC:$AC,"&lt;&gt;N-1+",Dataset!$AC:$AC,"&lt;&gt;*AA*",Dataset!$AC:$AC,"&lt;&gt;*AAA*",Dataset!$AC:$AC,"&lt;&gt;A",Dataset!$AC:$AC,"&lt;&gt;A-",Dataset!$AC:$AC,"&lt;&gt;A+",Dataset!$AC:$AC,"&lt;&gt;*BBB*")</f>
        <v>0</v>
      </c>
      <c r="V59" s="84">
        <f t="shared" si="3"/>
        <v>0</v>
      </c>
      <c r="W59" s="85">
        <f>10*SUMIFS(Dataset!$H:$H,Dataset!$F:$F,'retorno absoluto'!$D$11,Dataset!$AC:$AC,W$52,Dataset!$J:$J,"&lt;"&amp;$D59,Dataset!J:J,"&gt;="&amp;$C59)</f>
        <v>0</v>
      </c>
      <c r="X59" s="86">
        <f>10*SUMIFS(Dataset!$H:$H,Dataset!$F:$F,'retorno absoluto'!$D$11,Dataset!$AC:$AC,X$52,Dataset!$J:$J,"&lt;"&amp;$D59,Dataset!J:J,"&gt;="&amp;$C59)</f>
        <v>0</v>
      </c>
      <c r="Y59" s="86">
        <f>10*SUMIFS(Dataset!$H:$H,Dataset!$F:$F,'retorno absoluto'!$D$11,Dataset!$AC:$AC,Y$52,Dataset!$J:$J,"&lt;"&amp;$D59,Dataset!J:J,"&gt;="&amp;$C59)</f>
        <v>0</v>
      </c>
      <c r="Z59" s="86">
        <f>10*SUMIFS(Dataset!$H:$H,Dataset!$F:$F,'retorno absoluto'!$D$11,Dataset!$AC:$AC,Z$52,Dataset!$J:$J,"&lt;"&amp;$D59,Dataset!J:J,"&gt;="&amp;$C59)</f>
        <v>0</v>
      </c>
      <c r="AA59" s="86">
        <f>10*SUMIFS(Dataset!$H:$H,Dataset!$F:$F,'retorno absoluto'!$D$11,Dataset!$AC:$AC,AA$52,Dataset!$J:$J,"&lt;"&amp;$D59,Dataset!J:J,"&gt;="&amp;$C59)</f>
        <v>0</v>
      </c>
      <c r="AB59" s="86">
        <f>10*SUMIFS(Dataset!$H:$H,Dataset!$F:$F,'retorno absoluto'!$D$11,Dataset!$AC:$AC,"A",Dataset!$J:$J,"&lt;"&amp;$D59,Dataset!$J:$J,"&gt;="&amp;$C59)+10*SUMIFS(Dataset!$H:$H,Dataset!$F:$F,'retorno absoluto'!$D$11,Dataset!$AC:$AC,"A-",Dataset!$J:$J,"&lt;"&amp;$D59,Dataset!$J:$J,"&gt;="&amp;$C59)+10*SUMIFS(Dataset!$H:$H,Dataset!$F:$F,'retorno absoluto'!$D$11,Dataset!$AC:$AC,"A+",Dataset!$J:$J,"&lt;"&amp;$D59,Dataset!$J:$J,"&gt;="&amp;$C59)</f>
        <v>0</v>
      </c>
      <c r="AC59" s="86">
        <f>10*SUMIFS(Dataset!$H:$H,Dataset!$F:$F,'retorno absoluto'!$D$11,Dataset!$AC:$AC,"BBB",Dataset!$J:$J,"&lt;"&amp;$D59,Dataset!$J:$J,"&gt;="&amp;$C59)+10*SUMIFS(Dataset!$H:$H,Dataset!$F:$F,'retorno absoluto'!$D$11,Dataset!$AC:$AC,"BBB-",Dataset!$J:$J,"&lt;"&amp;$D59,Dataset!$J:$J,"&gt;="&amp;$C59)+10*SUMIFS(Dataset!$H:$H,Dataset!$F:$F,'retorno absoluto'!$D$11,Dataset!$AC:$AC,"BBB+",Dataset!$J:$J,"&lt;"&amp;$D59,Dataset!$J:$J,"&gt;="&amp;$C59)</f>
        <v>0</v>
      </c>
      <c r="AD59" s="86">
        <f>10*SUMIFS(Dataset!$H:$H,Dataset!$F:$F,'retorno absoluto'!$D$11,Dataset!$J:$J,"&lt;"&amp;$D59,Dataset!$J:$J,"&gt;="&amp;$C59,Dataset!$AC:$AC,"&lt;&gt;N-1+",Dataset!$AC:$AC,"&lt;&gt;*AA*",Dataset!$AC:$AC,"&lt;&gt;*AAA*",Dataset!$AC:$AC,"&lt;&gt;A",Dataset!$AC:$AC,"&lt;&gt;A-",Dataset!$AC:$AC,"&lt;&gt;A+",Dataset!$AC:$AC,"&lt;&gt;*BBB*")</f>
        <v>0</v>
      </c>
      <c r="AE59" s="87">
        <f t="shared" si="4"/>
        <v>0</v>
      </c>
    </row>
    <row r="60" spans="3:35" ht="33" customHeight="1" x14ac:dyDescent="0.3">
      <c r="C60" s="61">
        <v>6.5</v>
      </c>
      <c r="D60" s="81">
        <v>7.5</v>
      </c>
      <c r="E60" s="82">
        <f>SUMIFS(Dataset!$AK:$AK,Dataset!$F:$F,'retorno absoluto'!$D$11,Dataset!$AC:$AC,E$52,Dataset!$J:$J,"&lt;"&amp;$D60,Dataset!J:J,"&gt;="&amp;$C60)</f>
        <v>0</v>
      </c>
      <c r="F60" s="83">
        <f>SUMIFS(Dataset!$AK:$AK,Dataset!$F:$F,'retorno absoluto'!$D$11,Dataset!$AC:$AC,F$52,Dataset!$J:$J,"&lt;"&amp;$D60,Dataset!J:J,"&gt;="&amp;$C60)</f>
        <v>0</v>
      </c>
      <c r="G60" s="83">
        <f>SUMIFS(Dataset!$AK:$AK,Dataset!$F:$F,'retorno absoluto'!$D$11,Dataset!$AC:$AC,G$52,Dataset!$J:$J,"&lt;"&amp;$D60,Dataset!J:J,"&gt;="&amp;$C60)</f>
        <v>0</v>
      </c>
      <c r="H60" s="83">
        <f>SUMIFS(Dataset!$AK:$AK,Dataset!$F:$F,'retorno absoluto'!$D$11,Dataset!$AC:$AC,H$52,Dataset!$J:$J,"&lt;"&amp;$D60,Dataset!J:J,"&gt;="&amp;$C60)</f>
        <v>0</v>
      </c>
      <c r="I60" s="83">
        <f>SUMIFS(Dataset!$AK:$AK,Dataset!$F:$F,'retorno absoluto'!$D$11,Dataset!$AC:$AC,I$52,Dataset!$J:$J,"&lt;"&amp;$D60,Dataset!J:J,"&gt;="&amp;$C60)</f>
        <v>0</v>
      </c>
      <c r="J60" s="83">
        <f>SUMIFS(Dataset!$AK:$AK,Dataset!$F:$F,'retorno absoluto'!$D$11,Dataset!$AC:$AC,"A",Dataset!$J:$J,"&lt;"&amp;$D60,Dataset!$J:$J,"&gt;="&amp;$C60)+SUMIFS(Dataset!$AK:$AK,Dataset!$F:$F,'retorno absoluto'!$D$11,Dataset!$AC:$AC,"A-",Dataset!$J:$J,"&lt;"&amp;$D60,Dataset!$J:$J,"&gt;="&amp;$C60)+SUMIFS(Dataset!$AK:$AK,Dataset!$F:$F,'retorno absoluto'!$D$11,Dataset!$AC:$AC,"A+",Dataset!$J:$J,"&lt;"&amp;$D60,Dataset!$J:$J,"&gt;="&amp;$C60)</f>
        <v>0</v>
      </c>
      <c r="K60" s="83">
        <f>SUMIFS(Dataset!$AK:$AK,Dataset!$F:$F,'retorno absoluto'!$D$11,Dataset!$AC:$AC,"BBB",Dataset!$J:$J,"&lt;"&amp;$D60,Dataset!$J:$J,"&gt;="&amp;$C60)+SUMIFS(Dataset!$AK:$AK,Dataset!$F:$F,'retorno absoluto'!$D$11,Dataset!$AC:$AC,"BBB-",Dataset!$J:$J,"&lt;"&amp;$D60,Dataset!$J:$J,"&gt;="&amp;$C60)+SUMIFS(Dataset!$AK:$AK,Dataset!$F:$F,'retorno absoluto'!$D$11,Dataset!$AC:$AC,"BBB+",Dataset!$J:$J,"&lt;"&amp;$D60,Dataset!$J:$J,"&gt;="&amp;$C60)</f>
        <v>0</v>
      </c>
      <c r="L60" s="83">
        <f>SUMIFS(Dataset!$AK:$AK,Dataset!$F:$F,'retorno absoluto'!$D$11,Dataset!$J:$J,"&lt;"&amp;$D60,Dataset!$J:$J,"&gt;="&amp;$C60,Dataset!$AC:$AC,"&lt;&gt;N-1+",Dataset!$AC:$AC,"&lt;&gt;*AA*",Dataset!$AC:$AC,"&lt;&gt;*AAA*",Dataset!$AC:$AC,"&lt;&gt;A",Dataset!$AC:$AC,"&lt;&gt;A-",Dataset!$AC:$AC,"&lt;&gt;A+",Dataset!$AC:$AC,"&lt;&gt;*BBB*")</f>
        <v>0</v>
      </c>
      <c r="M60" s="84">
        <f t="shared" si="2"/>
        <v>0</v>
      </c>
      <c r="N60" s="82">
        <f>SUMIFS(Dataset!$AA:$AA,Dataset!$F:$F,'retorno absoluto'!$D$11,Dataset!$AC:$AC,N$52,Dataset!$J:$J,"&lt;"&amp;$D60,Dataset!$J:$J,"&gt;="&amp;$C60)</f>
        <v>0</v>
      </c>
      <c r="O60" s="83">
        <f>SUMIFS(Dataset!$AA:$AA,Dataset!$F:$F,'retorno absoluto'!$D$11,Dataset!$AC:$AC,O$52,Dataset!$J:$J,"&lt;"&amp;$D60,Dataset!$J:$J,"&gt;="&amp;$C60)</f>
        <v>0</v>
      </c>
      <c r="P60" s="83">
        <f>SUMIFS(Dataset!$AA:$AA,Dataset!$F:$F,'retorno absoluto'!$D$11,Dataset!$AC:$AC,P$52,Dataset!$J:$J,"&lt;"&amp;$D60,Dataset!$J:$J,"&gt;="&amp;$C60)</f>
        <v>0</v>
      </c>
      <c r="Q60" s="83">
        <f>SUMIFS(Dataset!$AA:$AA,Dataset!$F:$F,'retorno absoluto'!$D$11,Dataset!$AC:$AC,Q$52,Dataset!$J:$J,"&lt;"&amp;$D60,Dataset!$J:$J,"&gt;="&amp;$C60)</f>
        <v>0</v>
      </c>
      <c r="R60" s="83">
        <f>SUMIFS(Dataset!$AA:$AA,Dataset!$F:$F,'retorno absoluto'!$D$11,Dataset!$AC:$AC,R$52,Dataset!$J:$J,"&lt;"&amp;$D60,Dataset!$J:$J,"&gt;="&amp;$C60)</f>
        <v>0</v>
      </c>
      <c r="S60" s="83">
        <f>SUMIFS(Dataset!$AA:$AA,Dataset!$F:$F,'retorno absoluto'!$D$11,Dataset!$AC:$AC,"A",Dataset!$J:$J,"&lt;"&amp;$D60,Dataset!$J:$J,"&gt;="&amp;$C60)+SUMIFS(Dataset!$AA:$AA,Dataset!$F:$F,'retorno absoluto'!$D$11,Dataset!$AC:$AC,"A-",Dataset!$J:$J,"&lt;"&amp;$D60,Dataset!$J:$J,"&gt;="&amp;$C60)+SUMIFS(Dataset!$AA:$AA,Dataset!$F:$F,'retorno absoluto'!$D$11,Dataset!$AC:$AC,"A+",Dataset!$J:$J,"&lt;"&amp;$D60,Dataset!$J:$J,"&gt;="&amp;$C60)</f>
        <v>0</v>
      </c>
      <c r="T60" s="83">
        <f>SUMIFS(Dataset!$AA:$AA,Dataset!$F:$F,'retorno absoluto'!$D$11,Dataset!$AC:$AC,"BBB-",Dataset!$J:$J,"&lt;"&amp;$D60,Dataset!$J:$J,"&gt;="&amp;$C60)+SUMIFS(Dataset!$AA:$AA,Dataset!$F:$F,'retorno absoluto'!$D$11,Dataset!$AC:$AC,"BBB",Dataset!$J:$J,"&lt;"&amp;$D60,Dataset!$J:$J,"&gt;="&amp;$C60)+SUMIFS(Dataset!$AA:$AA,Dataset!$F:$F,'retorno absoluto'!$D$11,Dataset!$AC:$AC,"BBB+",Dataset!$J:$J,"&lt;"&amp;$D60,Dataset!$J:$J,"&gt;="&amp;$C60)</f>
        <v>0</v>
      </c>
      <c r="U60" s="83">
        <f>SUMIFS(Dataset!$AA:$AA,Dataset!$F:$F,'retorno absoluto'!$D$11,Dataset!$J:$J,"&lt;"&amp;$D60,Dataset!$J:$J,"&gt;="&amp;$C60,Dataset!$AC:$AC,"&lt;&gt;N-1+",Dataset!$AC:$AC,"&lt;&gt;*AA*",Dataset!$AC:$AC,"&lt;&gt;*AAA*",Dataset!$AC:$AC,"&lt;&gt;A",Dataset!$AC:$AC,"&lt;&gt;A-",Dataset!$AC:$AC,"&lt;&gt;A+",Dataset!$AC:$AC,"&lt;&gt;*BBB*")</f>
        <v>0</v>
      </c>
      <c r="V60" s="84">
        <f t="shared" si="3"/>
        <v>0</v>
      </c>
      <c r="W60" s="85">
        <f>10*SUMIFS(Dataset!$H:$H,Dataset!$F:$F,'retorno absoluto'!$D$11,Dataset!$AC:$AC,W$52,Dataset!$J:$J,"&lt;"&amp;$D60,Dataset!J:J,"&gt;="&amp;$C60)</f>
        <v>0</v>
      </c>
      <c r="X60" s="86">
        <f>10*SUMIFS(Dataset!$H:$H,Dataset!$F:$F,'retorno absoluto'!$D$11,Dataset!$AC:$AC,X$52,Dataset!$J:$J,"&lt;"&amp;$D60,Dataset!J:J,"&gt;="&amp;$C60)</f>
        <v>0</v>
      </c>
      <c r="Y60" s="86">
        <f>10*SUMIFS(Dataset!$H:$H,Dataset!$F:$F,'retorno absoluto'!$D$11,Dataset!$AC:$AC,Y$52,Dataset!$J:$J,"&lt;"&amp;$D60,Dataset!J:J,"&gt;="&amp;$C60)</f>
        <v>0</v>
      </c>
      <c r="Z60" s="86">
        <f>10*SUMIFS(Dataset!$H:$H,Dataset!$F:$F,'retorno absoluto'!$D$11,Dataset!$AC:$AC,Z$52,Dataset!$J:$J,"&lt;"&amp;$D60,Dataset!J:J,"&gt;="&amp;$C60)</f>
        <v>0</v>
      </c>
      <c r="AA60" s="86">
        <f>10*SUMIFS(Dataset!$H:$H,Dataset!$F:$F,'retorno absoluto'!$D$11,Dataset!$AC:$AC,AA$52,Dataset!$J:$J,"&lt;"&amp;$D60,Dataset!J:J,"&gt;="&amp;$C60)</f>
        <v>0</v>
      </c>
      <c r="AB60" s="86">
        <f>10*SUMIFS(Dataset!$H:$H,Dataset!$F:$F,'retorno absoluto'!$D$11,Dataset!$AC:$AC,"A",Dataset!$J:$J,"&lt;"&amp;$D60,Dataset!$J:$J,"&gt;="&amp;$C60)+10*SUMIFS(Dataset!$H:$H,Dataset!$F:$F,'retorno absoluto'!$D$11,Dataset!$AC:$AC,"A-",Dataset!$J:$J,"&lt;"&amp;$D60,Dataset!$J:$J,"&gt;="&amp;$C60)+10*SUMIFS(Dataset!$H:$H,Dataset!$F:$F,'retorno absoluto'!$D$11,Dataset!$AC:$AC,"A+",Dataset!$J:$J,"&lt;"&amp;$D60,Dataset!$J:$J,"&gt;="&amp;$C60)</f>
        <v>0</v>
      </c>
      <c r="AC60" s="86">
        <f>10*SUMIFS(Dataset!$H:$H,Dataset!$F:$F,'retorno absoluto'!$D$11,Dataset!$AC:$AC,"BBB",Dataset!$J:$J,"&lt;"&amp;$D60,Dataset!$J:$J,"&gt;="&amp;$C60)+10*SUMIFS(Dataset!$H:$H,Dataset!$F:$F,'retorno absoluto'!$D$11,Dataset!$AC:$AC,"BBB-",Dataset!$J:$J,"&lt;"&amp;$D60,Dataset!$J:$J,"&gt;="&amp;$C60)+10*SUMIFS(Dataset!$H:$H,Dataset!$F:$F,'retorno absoluto'!$D$11,Dataset!$AC:$AC,"BBB+",Dataset!$J:$J,"&lt;"&amp;$D60,Dataset!$J:$J,"&gt;="&amp;$C60)</f>
        <v>0</v>
      </c>
      <c r="AD60" s="86">
        <f>10*SUMIFS(Dataset!$H:$H,Dataset!$F:$F,'retorno absoluto'!$D$11,Dataset!$J:$J,"&lt;"&amp;$D60,Dataset!$J:$J,"&gt;="&amp;$C60,Dataset!$AC:$AC,"&lt;&gt;N-1+",Dataset!$AC:$AC,"&lt;&gt;*AA*",Dataset!$AC:$AC,"&lt;&gt;*AAA*",Dataset!$AC:$AC,"&lt;&gt;A",Dataset!$AC:$AC,"&lt;&gt;A-",Dataset!$AC:$AC,"&lt;&gt;A+",Dataset!$AC:$AC,"&lt;&gt;*BBB*")</f>
        <v>0</v>
      </c>
      <c r="AE60" s="87">
        <f t="shared" si="4"/>
        <v>0</v>
      </c>
    </row>
    <row r="61" spans="3:35" ht="33" customHeight="1" x14ac:dyDescent="0.3">
      <c r="C61" s="61">
        <v>7.5</v>
      </c>
      <c r="D61" s="81">
        <v>8.5</v>
      </c>
      <c r="E61" s="82">
        <f>SUMIFS(Dataset!$AK:$AK,Dataset!$F:$F,'retorno absoluto'!$D$11,Dataset!$AC:$AC,E$52,Dataset!$J:$J,"&lt;"&amp;$D61,Dataset!J:J,"&gt;="&amp;$C61)</f>
        <v>0</v>
      </c>
      <c r="F61" s="83">
        <f>SUMIFS(Dataset!$AK:$AK,Dataset!$F:$F,'retorno absoluto'!$D$11,Dataset!$AC:$AC,F$52,Dataset!$J:$J,"&lt;"&amp;$D61,Dataset!J:J,"&gt;="&amp;$C61)</f>
        <v>0</v>
      </c>
      <c r="G61" s="83">
        <f>SUMIFS(Dataset!$AK:$AK,Dataset!$F:$F,'retorno absoluto'!$D$11,Dataset!$AC:$AC,G$52,Dataset!$J:$J,"&lt;"&amp;$D61,Dataset!J:J,"&gt;="&amp;$C61)</f>
        <v>0</v>
      </c>
      <c r="H61" s="83">
        <f>SUMIFS(Dataset!$AK:$AK,Dataset!$F:$F,'retorno absoluto'!$D$11,Dataset!$AC:$AC,H$52,Dataset!$J:$J,"&lt;"&amp;$D61,Dataset!J:J,"&gt;="&amp;$C61)</f>
        <v>0</v>
      </c>
      <c r="I61" s="83">
        <f>SUMIFS(Dataset!$AK:$AK,Dataset!$F:$F,'retorno absoluto'!$D$11,Dataset!$AC:$AC,I$52,Dataset!$J:$J,"&lt;"&amp;$D61,Dataset!J:J,"&gt;="&amp;$C61)</f>
        <v>0</v>
      </c>
      <c r="J61" s="83">
        <f>SUMIFS(Dataset!$AK:$AK,Dataset!$F:$F,'retorno absoluto'!$D$11,Dataset!$AC:$AC,"A",Dataset!$J:$J,"&lt;"&amp;$D61,Dataset!$J:$J,"&gt;="&amp;$C61)+SUMIFS(Dataset!$AK:$AK,Dataset!$F:$F,'retorno absoluto'!$D$11,Dataset!$AC:$AC,"A-",Dataset!$J:$J,"&lt;"&amp;$D61,Dataset!$J:$J,"&gt;="&amp;$C61)+SUMIFS(Dataset!$AK:$AK,Dataset!$F:$F,'retorno absoluto'!$D$11,Dataset!$AC:$AC,"A+",Dataset!$J:$J,"&lt;"&amp;$D61,Dataset!$J:$J,"&gt;="&amp;$C61)</f>
        <v>0</v>
      </c>
      <c r="K61" s="83">
        <f>SUMIFS(Dataset!$AK:$AK,Dataset!$F:$F,'retorno absoluto'!$D$11,Dataset!$AC:$AC,"BBB",Dataset!$J:$J,"&lt;"&amp;$D61,Dataset!$J:$J,"&gt;="&amp;$C61)+SUMIFS(Dataset!$AK:$AK,Dataset!$F:$F,'retorno absoluto'!$D$11,Dataset!$AC:$AC,"BBB-",Dataset!$J:$J,"&lt;"&amp;$D61,Dataset!$J:$J,"&gt;="&amp;$C61)+SUMIFS(Dataset!$AK:$AK,Dataset!$F:$F,'retorno absoluto'!$D$11,Dataset!$AC:$AC,"BBB+",Dataset!$J:$J,"&lt;"&amp;$D61,Dataset!$J:$J,"&gt;="&amp;$C61)</f>
        <v>0</v>
      </c>
      <c r="L61" s="83">
        <f>SUMIFS(Dataset!$AK:$AK,Dataset!$F:$F,'retorno absoluto'!$D$11,Dataset!$J:$J,"&lt;"&amp;$D61,Dataset!$J:$J,"&gt;="&amp;$C61,Dataset!$AC:$AC,"&lt;&gt;N-1+",Dataset!$AC:$AC,"&lt;&gt;*AA*",Dataset!$AC:$AC,"&lt;&gt;*AAA*",Dataset!$AC:$AC,"&lt;&gt;A",Dataset!$AC:$AC,"&lt;&gt;A-",Dataset!$AC:$AC,"&lt;&gt;A+",Dataset!$AC:$AC,"&lt;&gt;*BBB*")</f>
        <v>0</v>
      </c>
      <c r="M61" s="84">
        <f t="shared" si="2"/>
        <v>0</v>
      </c>
      <c r="N61" s="82">
        <f>SUMIFS(Dataset!$AA:$AA,Dataset!$F:$F,'retorno absoluto'!$D$11,Dataset!$AC:$AC,N$52,Dataset!$J:$J,"&lt;"&amp;$D61,Dataset!$J:$J,"&gt;="&amp;$C61)</f>
        <v>0</v>
      </c>
      <c r="O61" s="83">
        <f>SUMIFS(Dataset!$AA:$AA,Dataset!$F:$F,'retorno absoluto'!$D$11,Dataset!$AC:$AC,O$52,Dataset!$J:$J,"&lt;"&amp;$D61,Dataset!$J:$J,"&gt;="&amp;$C61)</f>
        <v>0</v>
      </c>
      <c r="P61" s="83">
        <f>SUMIFS(Dataset!$AA:$AA,Dataset!$F:$F,'retorno absoluto'!$D$11,Dataset!$AC:$AC,P$52,Dataset!$J:$J,"&lt;"&amp;$D61,Dataset!$J:$J,"&gt;="&amp;$C61)</f>
        <v>0</v>
      </c>
      <c r="Q61" s="83">
        <f>SUMIFS(Dataset!$AA:$AA,Dataset!$F:$F,'retorno absoluto'!$D$11,Dataset!$AC:$AC,Q$52,Dataset!$J:$J,"&lt;"&amp;$D61,Dataset!$J:$J,"&gt;="&amp;$C61)</f>
        <v>0</v>
      </c>
      <c r="R61" s="83">
        <f>SUMIFS(Dataset!$AA:$AA,Dataset!$F:$F,'retorno absoluto'!$D$11,Dataset!$AC:$AC,R$52,Dataset!$J:$J,"&lt;"&amp;$D61,Dataset!$J:$J,"&gt;="&amp;$C61)</f>
        <v>0</v>
      </c>
      <c r="S61" s="83">
        <f>SUMIFS(Dataset!$AA:$AA,Dataset!$F:$F,'retorno absoluto'!$D$11,Dataset!$AC:$AC,"A",Dataset!$J:$J,"&lt;"&amp;$D61,Dataset!$J:$J,"&gt;="&amp;$C61)+SUMIFS(Dataset!$AA:$AA,Dataset!$F:$F,'retorno absoluto'!$D$11,Dataset!$AC:$AC,"A-",Dataset!$J:$J,"&lt;"&amp;$D61,Dataset!$J:$J,"&gt;="&amp;$C61)+SUMIFS(Dataset!$AA:$AA,Dataset!$F:$F,'retorno absoluto'!$D$11,Dataset!$AC:$AC,"A+",Dataset!$J:$J,"&lt;"&amp;$D61,Dataset!$J:$J,"&gt;="&amp;$C61)</f>
        <v>0</v>
      </c>
      <c r="T61" s="83">
        <f>SUMIFS(Dataset!$AA:$AA,Dataset!$F:$F,'retorno absoluto'!$D$11,Dataset!$AC:$AC,"BBB-",Dataset!$J:$J,"&lt;"&amp;$D61,Dataset!$J:$J,"&gt;="&amp;$C61)+SUMIFS(Dataset!$AA:$AA,Dataset!$F:$F,'retorno absoluto'!$D$11,Dataset!$AC:$AC,"BBB",Dataset!$J:$J,"&lt;"&amp;$D61,Dataset!$J:$J,"&gt;="&amp;$C61)+SUMIFS(Dataset!$AA:$AA,Dataset!$F:$F,'retorno absoluto'!$D$11,Dataset!$AC:$AC,"BBB+",Dataset!$J:$J,"&lt;"&amp;$D61,Dataset!$J:$J,"&gt;="&amp;$C61)</f>
        <v>0</v>
      </c>
      <c r="U61" s="83">
        <f>SUMIFS(Dataset!$AA:$AA,Dataset!$F:$F,'retorno absoluto'!$D$11,Dataset!$J:$J,"&lt;"&amp;$D61,Dataset!$J:$J,"&gt;="&amp;$C61,Dataset!$AC:$AC,"&lt;&gt;N-1+",Dataset!$AC:$AC,"&lt;&gt;*AA*",Dataset!$AC:$AC,"&lt;&gt;*AAA*",Dataset!$AC:$AC,"&lt;&gt;A",Dataset!$AC:$AC,"&lt;&gt;A-",Dataset!$AC:$AC,"&lt;&gt;A+",Dataset!$AC:$AC,"&lt;&gt;*BBB*")</f>
        <v>0</v>
      </c>
      <c r="V61" s="84">
        <f t="shared" si="3"/>
        <v>0</v>
      </c>
      <c r="W61" s="85">
        <f>10*SUMIFS(Dataset!$H:$H,Dataset!$F:$F,'retorno absoluto'!$D$11,Dataset!$AC:$AC,W$52,Dataset!$J:$J,"&lt;"&amp;$D61,Dataset!J:J,"&gt;="&amp;$C61)</f>
        <v>0</v>
      </c>
      <c r="X61" s="86">
        <f>10*SUMIFS(Dataset!$H:$H,Dataset!$F:$F,'retorno absoluto'!$D$11,Dataset!$AC:$AC,X$52,Dataset!$J:$J,"&lt;"&amp;$D61,Dataset!J:J,"&gt;="&amp;$C61)</f>
        <v>0</v>
      </c>
      <c r="Y61" s="86">
        <f>10*SUMIFS(Dataset!$H:$H,Dataset!$F:$F,'retorno absoluto'!$D$11,Dataset!$AC:$AC,Y$52,Dataset!$J:$J,"&lt;"&amp;$D61,Dataset!J:J,"&gt;="&amp;$C61)</f>
        <v>0</v>
      </c>
      <c r="Z61" s="86">
        <f>10*SUMIFS(Dataset!$H:$H,Dataset!$F:$F,'retorno absoluto'!$D$11,Dataset!$AC:$AC,Z$52,Dataset!$J:$J,"&lt;"&amp;$D61,Dataset!J:J,"&gt;="&amp;$C61)</f>
        <v>0</v>
      </c>
      <c r="AA61" s="86">
        <f>10*SUMIFS(Dataset!$H:$H,Dataset!$F:$F,'retorno absoluto'!$D$11,Dataset!$AC:$AC,AA$52,Dataset!$J:$J,"&lt;"&amp;$D61,Dataset!J:J,"&gt;="&amp;$C61)</f>
        <v>0</v>
      </c>
      <c r="AB61" s="86">
        <f>10*SUMIFS(Dataset!$H:$H,Dataset!$F:$F,'retorno absoluto'!$D$11,Dataset!$AC:$AC,"A",Dataset!$J:$J,"&lt;"&amp;$D61,Dataset!$J:$J,"&gt;="&amp;$C61)+10*SUMIFS(Dataset!$H:$H,Dataset!$F:$F,'retorno absoluto'!$D$11,Dataset!$AC:$AC,"A-",Dataset!$J:$J,"&lt;"&amp;$D61,Dataset!$J:$J,"&gt;="&amp;$C61)+10*SUMIFS(Dataset!$H:$H,Dataset!$F:$F,'retorno absoluto'!$D$11,Dataset!$AC:$AC,"A+",Dataset!$J:$J,"&lt;"&amp;$D61,Dataset!$J:$J,"&gt;="&amp;$C61)</f>
        <v>0</v>
      </c>
      <c r="AC61" s="86">
        <f>10*SUMIFS(Dataset!$H:$H,Dataset!$F:$F,'retorno absoluto'!$D$11,Dataset!$AC:$AC,"BBB",Dataset!$J:$J,"&lt;"&amp;$D61,Dataset!$J:$J,"&gt;="&amp;$C61)+10*SUMIFS(Dataset!$H:$H,Dataset!$F:$F,'retorno absoluto'!$D$11,Dataset!$AC:$AC,"BBB-",Dataset!$J:$J,"&lt;"&amp;$D61,Dataset!$J:$J,"&gt;="&amp;$C61)+10*SUMIFS(Dataset!$H:$H,Dataset!$F:$F,'retorno absoluto'!$D$11,Dataset!$AC:$AC,"BBB+",Dataset!$J:$J,"&lt;"&amp;$D61,Dataset!$J:$J,"&gt;="&amp;$C61)</f>
        <v>0</v>
      </c>
      <c r="AD61" s="86">
        <f>10*SUMIFS(Dataset!$H:$H,Dataset!$F:$F,'retorno absoluto'!$D$11,Dataset!$J:$J,"&lt;"&amp;$D61,Dataset!$J:$J,"&gt;="&amp;$C61,Dataset!$AC:$AC,"&lt;&gt;N-1+",Dataset!$AC:$AC,"&lt;&gt;*AA*",Dataset!$AC:$AC,"&lt;&gt;*AAA*",Dataset!$AC:$AC,"&lt;&gt;A",Dataset!$AC:$AC,"&lt;&gt;A-",Dataset!$AC:$AC,"&lt;&gt;A+",Dataset!$AC:$AC,"&lt;&gt;*BBB*")</f>
        <v>0</v>
      </c>
      <c r="AE61" s="87">
        <f t="shared" si="4"/>
        <v>0</v>
      </c>
    </row>
    <row r="62" spans="3:35" ht="33" customHeight="1" x14ac:dyDescent="0.3">
      <c r="C62" s="61">
        <v>8.5</v>
      </c>
      <c r="D62" s="81">
        <v>9.5</v>
      </c>
      <c r="E62" s="82">
        <f>SUMIFS(Dataset!$AK:$AK,Dataset!$F:$F,'retorno absoluto'!$D$11,Dataset!$AC:$AC,E$52,Dataset!$J:$J,"&lt;"&amp;$D62,Dataset!J:J,"&gt;="&amp;$C62)</f>
        <v>0</v>
      </c>
      <c r="F62" s="83">
        <f>SUMIFS(Dataset!$AK:$AK,Dataset!$F:$F,'retorno absoluto'!$D$11,Dataset!$AC:$AC,F$52,Dataset!$J:$J,"&lt;"&amp;$D62,Dataset!J:J,"&gt;="&amp;$C62)</f>
        <v>0</v>
      </c>
      <c r="G62" s="83">
        <f>SUMIFS(Dataset!$AK:$AK,Dataset!$F:$F,'retorno absoluto'!$D$11,Dataset!$AC:$AC,G$52,Dataset!$J:$J,"&lt;"&amp;$D62,Dataset!J:J,"&gt;="&amp;$C62)</f>
        <v>0</v>
      </c>
      <c r="H62" s="83">
        <f>SUMIFS(Dataset!$AK:$AK,Dataset!$F:$F,'retorno absoluto'!$D$11,Dataset!$AC:$AC,H$52,Dataset!$J:$J,"&lt;"&amp;$D62,Dataset!J:J,"&gt;="&amp;$C62)</f>
        <v>0</v>
      </c>
      <c r="I62" s="83">
        <f>SUMIFS(Dataset!$AK:$AK,Dataset!$F:$F,'retorno absoluto'!$D$11,Dataset!$AC:$AC,I$52,Dataset!$J:$J,"&lt;"&amp;$D62,Dataset!J:J,"&gt;="&amp;$C62)</f>
        <v>0</v>
      </c>
      <c r="J62" s="83">
        <f>SUMIFS(Dataset!$AK:$AK,Dataset!$F:$F,'retorno absoluto'!$D$11,Dataset!$AC:$AC,"A",Dataset!$J:$J,"&lt;"&amp;$D62,Dataset!$J:$J,"&gt;="&amp;$C62)+SUMIFS(Dataset!$AK:$AK,Dataset!$F:$F,'retorno absoluto'!$D$11,Dataset!$AC:$AC,"A-",Dataset!$J:$J,"&lt;"&amp;$D62,Dataset!$J:$J,"&gt;="&amp;$C62)+SUMIFS(Dataset!$AK:$AK,Dataset!$F:$F,'retorno absoluto'!$D$11,Dataset!$AC:$AC,"A+",Dataset!$J:$J,"&lt;"&amp;$D62,Dataset!$J:$J,"&gt;="&amp;$C62)</f>
        <v>0</v>
      </c>
      <c r="K62" s="83">
        <f>SUMIFS(Dataset!$AK:$AK,Dataset!$F:$F,'retorno absoluto'!$D$11,Dataset!$AC:$AC,"BBB",Dataset!$J:$J,"&lt;"&amp;$D62,Dataset!$J:$J,"&gt;="&amp;$C62)+SUMIFS(Dataset!$AK:$AK,Dataset!$F:$F,'retorno absoluto'!$D$11,Dataset!$AC:$AC,"BBB-",Dataset!$J:$J,"&lt;"&amp;$D62,Dataset!$J:$J,"&gt;="&amp;$C62)+SUMIFS(Dataset!$AK:$AK,Dataset!$F:$F,'retorno absoluto'!$D$11,Dataset!$AC:$AC,"BBB+",Dataset!$J:$J,"&lt;"&amp;$D62,Dataset!$J:$J,"&gt;="&amp;$C62)</f>
        <v>0</v>
      </c>
      <c r="L62" s="83">
        <f>SUMIFS(Dataset!$AK:$AK,Dataset!$F:$F,'retorno absoluto'!$D$11,Dataset!$J:$J,"&lt;"&amp;$D62,Dataset!$J:$J,"&gt;="&amp;$C62,Dataset!$AC:$AC,"&lt;&gt;N-1+",Dataset!$AC:$AC,"&lt;&gt;*AA*",Dataset!$AC:$AC,"&lt;&gt;*AAA*",Dataset!$AC:$AC,"&lt;&gt;A",Dataset!$AC:$AC,"&lt;&gt;A-",Dataset!$AC:$AC,"&lt;&gt;A+",Dataset!$AC:$AC,"&lt;&gt;*BBB*")</f>
        <v>0</v>
      </c>
      <c r="M62" s="84">
        <f t="shared" si="2"/>
        <v>0</v>
      </c>
      <c r="N62" s="82">
        <f>SUMIFS(Dataset!$AA:$AA,Dataset!$F:$F,'retorno absoluto'!$D$11,Dataset!$AC:$AC,N$52,Dataset!$J:$J,"&lt;"&amp;$D62,Dataset!$J:$J,"&gt;="&amp;$C62)</f>
        <v>0</v>
      </c>
      <c r="O62" s="83">
        <f>SUMIFS(Dataset!$AA:$AA,Dataset!$F:$F,'retorno absoluto'!$D$11,Dataset!$AC:$AC,O$52,Dataset!$J:$J,"&lt;"&amp;$D62,Dataset!$J:$J,"&gt;="&amp;$C62)</f>
        <v>0</v>
      </c>
      <c r="P62" s="83">
        <f>SUMIFS(Dataset!$AA:$AA,Dataset!$F:$F,'retorno absoluto'!$D$11,Dataset!$AC:$AC,P$52,Dataset!$J:$J,"&lt;"&amp;$D62,Dataset!$J:$J,"&gt;="&amp;$C62)</f>
        <v>0</v>
      </c>
      <c r="Q62" s="83">
        <f>SUMIFS(Dataset!$AA:$AA,Dataset!$F:$F,'retorno absoluto'!$D$11,Dataset!$AC:$AC,Q$52,Dataset!$J:$J,"&lt;"&amp;$D62,Dataset!$J:$J,"&gt;="&amp;$C62)</f>
        <v>0</v>
      </c>
      <c r="R62" s="83">
        <f>SUMIFS(Dataset!$AA:$AA,Dataset!$F:$F,'retorno absoluto'!$D$11,Dataset!$AC:$AC,R$52,Dataset!$J:$J,"&lt;"&amp;$D62,Dataset!$J:$J,"&gt;="&amp;$C62)</f>
        <v>0</v>
      </c>
      <c r="S62" s="83">
        <f>SUMIFS(Dataset!$AA:$AA,Dataset!$F:$F,'retorno absoluto'!$D$11,Dataset!$AC:$AC,"A",Dataset!$J:$J,"&lt;"&amp;$D62,Dataset!$J:$J,"&gt;="&amp;$C62)+SUMIFS(Dataset!$AA:$AA,Dataset!$F:$F,'retorno absoluto'!$D$11,Dataset!$AC:$AC,"A-",Dataset!$J:$J,"&lt;"&amp;$D62,Dataset!$J:$J,"&gt;="&amp;$C62)+SUMIFS(Dataset!$AA:$AA,Dataset!$F:$F,'retorno absoluto'!$D$11,Dataset!$AC:$AC,"A+",Dataset!$J:$J,"&lt;"&amp;$D62,Dataset!$J:$J,"&gt;="&amp;$C62)</f>
        <v>0</v>
      </c>
      <c r="T62" s="83">
        <f>SUMIFS(Dataset!$AA:$AA,Dataset!$F:$F,'retorno absoluto'!$D$11,Dataset!$AC:$AC,"BBB-",Dataset!$J:$J,"&lt;"&amp;$D62,Dataset!$J:$J,"&gt;="&amp;$C62)+SUMIFS(Dataset!$AA:$AA,Dataset!$F:$F,'retorno absoluto'!$D$11,Dataset!$AC:$AC,"BBB",Dataset!$J:$J,"&lt;"&amp;$D62,Dataset!$J:$J,"&gt;="&amp;$C62)+SUMIFS(Dataset!$AA:$AA,Dataset!$F:$F,'retorno absoluto'!$D$11,Dataset!$AC:$AC,"BBB+",Dataset!$J:$J,"&lt;"&amp;$D62,Dataset!$J:$J,"&gt;="&amp;$C62)</f>
        <v>0</v>
      </c>
      <c r="U62" s="83">
        <f>SUMIFS(Dataset!$AA:$AA,Dataset!$F:$F,'retorno absoluto'!$D$11,Dataset!$J:$J,"&lt;"&amp;$D62,Dataset!$J:$J,"&gt;="&amp;$C62,Dataset!$AC:$AC,"&lt;&gt;N-1+",Dataset!$AC:$AC,"&lt;&gt;*AA*",Dataset!$AC:$AC,"&lt;&gt;*AAA*",Dataset!$AC:$AC,"&lt;&gt;A",Dataset!$AC:$AC,"&lt;&gt;A-",Dataset!$AC:$AC,"&lt;&gt;A+",Dataset!$AC:$AC,"&lt;&gt;*BBB*")</f>
        <v>0</v>
      </c>
      <c r="V62" s="84">
        <f t="shared" si="3"/>
        <v>0</v>
      </c>
      <c r="W62" s="85">
        <f>10*SUMIFS(Dataset!$H:$H,Dataset!$F:$F,'retorno absoluto'!$D$11,Dataset!$AC:$AC,W$52,Dataset!$J:$J,"&lt;"&amp;$D62,Dataset!J:J,"&gt;="&amp;$C62)</f>
        <v>0</v>
      </c>
      <c r="X62" s="86">
        <f>10*SUMIFS(Dataset!$H:$H,Dataset!$F:$F,'retorno absoluto'!$D$11,Dataset!$AC:$AC,X$52,Dataset!$J:$J,"&lt;"&amp;$D62,Dataset!J:J,"&gt;="&amp;$C62)</f>
        <v>0</v>
      </c>
      <c r="Y62" s="86">
        <f>10*SUMIFS(Dataset!$H:$H,Dataset!$F:$F,'retorno absoluto'!$D$11,Dataset!$AC:$AC,Y$52,Dataset!$J:$J,"&lt;"&amp;$D62,Dataset!J:J,"&gt;="&amp;$C62)</f>
        <v>0</v>
      </c>
      <c r="Z62" s="86">
        <f>10*SUMIFS(Dataset!$H:$H,Dataset!$F:$F,'retorno absoluto'!$D$11,Dataset!$AC:$AC,Z$52,Dataset!$J:$J,"&lt;"&amp;$D62,Dataset!J:J,"&gt;="&amp;$C62)</f>
        <v>0</v>
      </c>
      <c r="AA62" s="86">
        <f>10*SUMIFS(Dataset!$H:$H,Dataset!$F:$F,'retorno absoluto'!$D$11,Dataset!$AC:$AC,AA$52,Dataset!$J:$J,"&lt;"&amp;$D62,Dataset!J:J,"&gt;="&amp;$C62)</f>
        <v>0</v>
      </c>
      <c r="AB62" s="86">
        <f>10*SUMIFS(Dataset!$H:$H,Dataset!$F:$F,'retorno absoluto'!$D$11,Dataset!$AC:$AC,"A",Dataset!$J:$J,"&lt;"&amp;$D62,Dataset!$J:$J,"&gt;="&amp;$C62)+10*SUMIFS(Dataset!$H:$H,Dataset!$F:$F,'retorno absoluto'!$D$11,Dataset!$AC:$AC,"A-",Dataset!$J:$J,"&lt;"&amp;$D62,Dataset!$J:$J,"&gt;="&amp;$C62)+10*SUMIFS(Dataset!$H:$H,Dataset!$F:$F,'retorno absoluto'!$D$11,Dataset!$AC:$AC,"A+",Dataset!$J:$J,"&lt;"&amp;$D62,Dataset!$J:$J,"&gt;="&amp;$C62)</f>
        <v>0</v>
      </c>
      <c r="AC62" s="86">
        <f>10*SUMIFS(Dataset!$H:$H,Dataset!$F:$F,'retorno absoluto'!$D$11,Dataset!$AC:$AC,"BBB",Dataset!$J:$J,"&lt;"&amp;$D62,Dataset!$J:$J,"&gt;="&amp;$C62)+10*SUMIFS(Dataset!$H:$H,Dataset!$F:$F,'retorno absoluto'!$D$11,Dataset!$AC:$AC,"BBB-",Dataset!$J:$J,"&lt;"&amp;$D62,Dataset!$J:$J,"&gt;="&amp;$C62)+10*SUMIFS(Dataset!$H:$H,Dataset!$F:$F,'retorno absoluto'!$D$11,Dataset!$AC:$AC,"BBB+",Dataset!$J:$J,"&lt;"&amp;$D62,Dataset!$J:$J,"&gt;="&amp;$C62)</f>
        <v>0</v>
      </c>
      <c r="AD62" s="86">
        <f>10*SUMIFS(Dataset!$H:$H,Dataset!$F:$F,'retorno absoluto'!$D$11,Dataset!$J:$J,"&lt;"&amp;$D62,Dataset!$J:$J,"&gt;="&amp;$C62,Dataset!$AC:$AC,"&lt;&gt;N-1+",Dataset!$AC:$AC,"&lt;&gt;*AA*",Dataset!$AC:$AC,"&lt;&gt;*AAA*",Dataset!$AC:$AC,"&lt;&gt;A",Dataset!$AC:$AC,"&lt;&gt;A-",Dataset!$AC:$AC,"&lt;&gt;A+",Dataset!$AC:$AC,"&lt;&gt;*BBB*")</f>
        <v>0</v>
      </c>
      <c r="AE62" s="87">
        <f t="shared" si="4"/>
        <v>0</v>
      </c>
    </row>
    <row r="63" spans="3:35" ht="33" customHeight="1" x14ac:dyDescent="0.3">
      <c r="C63" s="61">
        <v>9.5</v>
      </c>
      <c r="D63" s="81">
        <v>10.5</v>
      </c>
      <c r="E63" s="82">
        <f>SUMIFS(Dataset!$AK:$AK,Dataset!$F:$F,'retorno absoluto'!$D$11,Dataset!$AC:$AC,E$52,Dataset!$J:$J,"&lt;"&amp;$D63,Dataset!J:J,"&gt;="&amp;$C63)</f>
        <v>0</v>
      </c>
      <c r="F63" s="83">
        <f>SUMIFS(Dataset!$AK:$AK,Dataset!$F:$F,'retorno absoluto'!$D$11,Dataset!$AC:$AC,F$52,Dataset!$J:$J,"&lt;"&amp;$D63,Dataset!J:J,"&gt;="&amp;$C63)</f>
        <v>0</v>
      </c>
      <c r="G63" s="83">
        <f>SUMIFS(Dataset!$AK:$AK,Dataset!$F:$F,'retorno absoluto'!$D$11,Dataset!$AC:$AC,G$52,Dataset!$J:$J,"&lt;"&amp;$D63,Dataset!J:J,"&gt;="&amp;$C63)</f>
        <v>0</v>
      </c>
      <c r="H63" s="83">
        <f>SUMIFS(Dataset!$AK:$AK,Dataset!$F:$F,'retorno absoluto'!$D$11,Dataset!$AC:$AC,H$52,Dataset!$J:$J,"&lt;"&amp;$D63,Dataset!J:J,"&gt;="&amp;$C63)</f>
        <v>0</v>
      </c>
      <c r="I63" s="83">
        <f>SUMIFS(Dataset!$AK:$AK,Dataset!$F:$F,'retorno absoluto'!$D$11,Dataset!$AC:$AC,I$52,Dataset!$J:$J,"&lt;"&amp;$D63,Dataset!J:J,"&gt;="&amp;$C63)</f>
        <v>0</v>
      </c>
      <c r="J63" s="83">
        <f>SUMIFS(Dataset!$AK:$AK,Dataset!$F:$F,'retorno absoluto'!$D$11,Dataset!$AC:$AC,"A",Dataset!$J:$J,"&lt;"&amp;$D63,Dataset!$J:$J,"&gt;="&amp;$C63)+SUMIFS(Dataset!$AK:$AK,Dataset!$F:$F,'retorno absoluto'!$D$11,Dataset!$AC:$AC,"A-",Dataset!$J:$J,"&lt;"&amp;$D63,Dataset!$J:$J,"&gt;="&amp;$C63)+SUMIFS(Dataset!$AK:$AK,Dataset!$F:$F,'retorno absoluto'!$D$11,Dataset!$AC:$AC,"A+",Dataset!$J:$J,"&lt;"&amp;$D63,Dataset!$J:$J,"&gt;="&amp;$C63)</f>
        <v>0</v>
      </c>
      <c r="K63" s="83">
        <f>SUMIFS(Dataset!$AK:$AK,Dataset!$F:$F,'retorno absoluto'!$D$11,Dataset!$AC:$AC,"BBB",Dataset!$J:$J,"&lt;"&amp;$D63,Dataset!$J:$J,"&gt;="&amp;$C63)+SUMIFS(Dataset!$AK:$AK,Dataset!$F:$F,'retorno absoluto'!$D$11,Dataset!$AC:$AC,"BBB-",Dataset!$J:$J,"&lt;"&amp;$D63,Dataset!$J:$J,"&gt;="&amp;$C63)+SUMIFS(Dataset!$AK:$AK,Dataset!$F:$F,'retorno absoluto'!$D$11,Dataset!$AC:$AC,"BBB+",Dataset!$J:$J,"&lt;"&amp;$D63,Dataset!$J:$J,"&gt;="&amp;$C63)</f>
        <v>0</v>
      </c>
      <c r="L63" s="83">
        <f>SUMIFS(Dataset!$AK:$AK,Dataset!$F:$F,'retorno absoluto'!$D$11,Dataset!$J:$J,"&lt;"&amp;$D63,Dataset!$J:$J,"&gt;="&amp;$C63,Dataset!$AC:$AC,"&lt;&gt;N-1+",Dataset!$AC:$AC,"&lt;&gt;*AA*",Dataset!$AC:$AC,"&lt;&gt;*AAA*",Dataset!$AC:$AC,"&lt;&gt;A",Dataset!$AC:$AC,"&lt;&gt;A-",Dataset!$AC:$AC,"&lt;&gt;A+",Dataset!$AC:$AC,"&lt;&gt;*BBB*")</f>
        <v>0</v>
      </c>
      <c r="M63" s="84">
        <f t="shared" si="2"/>
        <v>0</v>
      </c>
      <c r="N63" s="82">
        <f>SUMIFS(Dataset!$AA:$AA,Dataset!$F:$F,'retorno absoluto'!$D$11,Dataset!$AC:$AC,N$52,Dataset!$J:$J,"&lt;"&amp;$D63,Dataset!$J:$J,"&gt;="&amp;$C63)</f>
        <v>0</v>
      </c>
      <c r="O63" s="83">
        <f>SUMIFS(Dataset!$AA:$AA,Dataset!$F:$F,'retorno absoluto'!$D$11,Dataset!$AC:$AC,O$52,Dataset!$J:$J,"&lt;"&amp;$D63,Dataset!$J:$J,"&gt;="&amp;$C63)</f>
        <v>0</v>
      </c>
      <c r="P63" s="83">
        <f>SUMIFS(Dataset!$AA:$AA,Dataset!$F:$F,'retorno absoluto'!$D$11,Dataset!$AC:$AC,P$52,Dataset!$J:$J,"&lt;"&amp;$D63,Dataset!$J:$J,"&gt;="&amp;$C63)</f>
        <v>0</v>
      </c>
      <c r="Q63" s="83">
        <f>SUMIFS(Dataset!$AA:$AA,Dataset!$F:$F,'retorno absoluto'!$D$11,Dataset!$AC:$AC,Q$52,Dataset!$J:$J,"&lt;"&amp;$D63,Dataset!$J:$J,"&gt;="&amp;$C63)</f>
        <v>0</v>
      </c>
      <c r="R63" s="83">
        <f>SUMIFS(Dataset!$AA:$AA,Dataset!$F:$F,'retorno absoluto'!$D$11,Dataset!$AC:$AC,R$52,Dataset!$J:$J,"&lt;"&amp;$D63,Dataset!$J:$J,"&gt;="&amp;$C63)</f>
        <v>0</v>
      </c>
      <c r="S63" s="83">
        <f>SUMIFS(Dataset!$AA:$AA,Dataset!$F:$F,'retorno absoluto'!$D$11,Dataset!$AC:$AC,"A",Dataset!$J:$J,"&lt;"&amp;$D63,Dataset!$J:$J,"&gt;="&amp;$C63)+SUMIFS(Dataset!$AA:$AA,Dataset!$F:$F,'retorno absoluto'!$D$11,Dataset!$AC:$AC,"A-",Dataset!$J:$J,"&lt;"&amp;$D63,Dataset!$J:$J,"&gt;="&amp;$C63)+SUMIFS(Dataset!$AA:$AA,Dataset!$F:$F,'retorno absoluto'!$D$11,Dataset!$AC:$AC,"A+",Dataset!$J:$J,"&lt;"&amp;$D63,Dataset!$J:$J,"&gt;="&amp;$C63)</f>
        <v>0</v>
      </c>
      <c r="T63" s="83">
        <f>SUMIFS(Dataset!$AA:$AA,Dataset!$F:$F,'retorno absoluto'!$D$11,Dataset!$AC:$AC,"BBB-",Dataset!$J:$J,"&lt;"&amp;$D63,Dataset!$J:$J,"&gt;="&amp;$C63)+SUMIFS(Dataset!$AA:$AA,Dataset!$F:$F,'retorno absoluto'!$D$11,Dataset!$AC:$AC,"BBB",Dataset!$J:$J,"&lt;"&amp;$D63,Dataset!$J:$J,"&gt;="&amp;$C63)+SUMIFS(Dataset!$AA:$AA,Dataset!$F:$F,'retorno absoluto'!$D$11,Dataset!$AC:$AC,"BBB+",Dataset!$J:$J,"&lt;"&amp;$D63,Dataset!$J:$J,"&gt;="&amp;$C63)</f>
        <v>0</v>
      </c>
      <c r="U63" s="83">
        <f>SUMIFS(Dataset!$AA:$AA,Dataset!$F:$F,'retorno absoluto'!$D$11,Dataset!$J:$J,"&lt;"&amp;$D63,Dataset!$J:$J,"&gt;="&amp;$C63,Dataset!$AC:$AC,"&lt;&gt;N-1+",Dataset!$AC:$AC,"&lt;&gt;*AA*",Dataset!$AC:$AC,"&lt;&gt;*AAA*",Dataset!$AC:$AC,"&lt;&gt;A",Dataset!$AC:$AC,"&lt;&gt;A-",Dataset!$AC:$AC,"&lt;&gt;A+",Dataset!$AC:$AC,"&lt;&gt;*BBB*")</f>
        <v>0</v>
      </c>
      <c r="V63" s="84">
        <f t="shared" si="3"/>
        <v>0</v>
      </c>
      <c r="W63" s="85">
        <f>10*SUMIFS(Dataset!$H:$H,Dataset!$F:$F,'retorno absoluto'!$D$11,Dataset!$AC:$AC,W$52,Dataset!$J:$J,"&lt;"&amp;$D63,Dataset!J:J,"&gt;="&amp;$C63)</f>
        <v>0</v>
      </c>
      <c r="X63" s="86">
        <f>10*SUMIFS(Dataset!$H:$H,Dataset!$F:$F,'retorno absoluto'!$D$11,Dataset!$AC:$AC,X$52,Dataset!$J:$J,"&lt;"&amp;$D63,Dataset!J:J,"&gt;="&amp;$C63)</f>
        <v>0</v>
      </c>
      <c r="Y63" s="86">
        <f>10*SUMIFS(Dataset!$H:$H,Dataset!$F:$F,'retorno absoluto'!$D$11,Dataset!$AC:$AC,Y$52,Dataset!$J:$J,"&lt;"&amp;$D63,Dataset!J:J,"&gt;="&amp;$C63)</f>
        <v>0</v>
      </c>
      <c r="Z63" s="86">
        <f>10*SUMIFS(Dataset!$H:$H,Dataset!$F:$F,'retorno absoluto'!$D$11,Dataset!$AC:$AC,Z$52,Dataset!$J:$J,"&lt;"&amp;$D63,Dataset!J:J,"&gt;="&amp;$C63)</f>
        <v>0</v>
      </c>
      <c r="AA63" s="86">
        <f>10*SUMIFS(Dataset!$H:$H,Dataset!$F:$F,'retorno absoluto'!$D$11,Dataset!$AC:$AC,AA$52,Dataset!$J:$J,"&lt;"&amp;$D63,Dataset!J:J,"&gt;="&amp;$C63)</f>
        <v>0</v>
      </c>
      <c r="AB63" s="86">
        <f>10*SUMIFS(Dataset!$H:$H,Dataset!$F:$F,'retorno absoluto'!$D$11,Dataset!$AC:$AC,"A",Dataset!$J:$J,"&lt;"&amp;$D63,Dataset!$J:$J,"&gt;="&amp;$C63)+10*SUMIFS(Dataset!$H:$H,Dataset!$F:$F,'retorno absoluto'!$D$11,Dataset!$AC:$AC,"A-",Dataset!$J:$J,"&lt;"&amp;$D63,Dataset!$J:$J,"&gt;="&amp;$C63)+10*SUMIFS(Dataset!$H:$H,Dataset!$F:$F,'retorno absoluto'!$D$11,Dataset!$AC:$AC,"A+",Dataset!$J:$J,"&lt;"&amp;$D63,Dataset!$J:$J,"&gt;="&amp;$C63)</f>
        <v>0</v>
      </c>
      <c r="AC63" s="86">
        <f>10*SUMIFS(Dataset!$H:$H,Dataset!$F:$F,'retorno absoluto'!$D$11,Dataset!$AC:$AC,"BBB",Dataset!$J:$J,"&lt;"&amp;$D63,Dataset!$J:$J,"&gt;="&amp;$C63)+10*SUMIFS(Dataset!$H:$H,Dataset!$F:$F,'retorno absoluto'!$D$11,Dataset!$AC:$AC,"BBB-",Dataset!$J:$J,"&lt;"&amp;$D63,Dataset!$J:$J,"&gt;="&amp;$C63)+10*SUMIFS(Dataset!$H:$H,Dataset!$F:$F,'retorno absoluto'!$D$11,Dataset!$AC:$AC,"BBB+",Dataset!$J:$J,"&lt;"&amp;$D63,Dataset!$J:$J,"&gt;="&amp;$C63)</f>
        <v>0</v>
      </c>
      <c r="AD63" s="86">
        <f>10*SUMIFS(Dataset!$H:$H,Dataset!$F:$F,'retorno absoluto'!$D$11,Dataset!$J:$J,"&lt;"&amp;$D63,Dataset!$J:$J,"&gt;="&amp;$C63,Dataset!$AC:$AC,"&lt;&gt;N-1+",Dataset!$AC:$AC,"&lt;&gt;*AA*",Dataset!$AC:$AC,"&lt;&gt;*AAA*",Dataset!$AC:$AC,"&lt;&gt;A",Dataset!$AC:$AC,"&lt;&gt;A-",Dataset!$AC:$AC,"&lt;&gt;A+",Dataset!$AC:$AC,"&lt;&gt;*BBB*")</f>
        <v>0</v>
      </c>
      <c r="AE63" s="87">
        <f t="shared" si="4"/>
        <v>0</v>
      </c>
    </row>
    <row r="64" spans="3:35" ht="33" customHeight="1" x14ac:dyDescent="0.3">
      <c r="C64" s="61">
        <v>10.5</v>
      </c>
      <c r="D64" s="81">
        <v>11.5</v>
      </c>
      <c r="E64" s="82">
        <f>SUMIFS(Dataset!$AK:$AK,Dataset!$F:$F,'retorno absoluto'!$D$11,Dataset!$AC:$AC,E$52,Dataset!$J:$J,"&lt;"&amp;$D64,Dataset!J:J,"&gt;="&amp;$C64)</f>
        <v>0</v>
      </c>
      <c r="F64" s="83">
        <f>SUMIFS(Dataset!$AK:$AK,Dataset!$F:$F,'retorno absoluto'!$D$11,Dataset!$AC:$AC,F$52,Dataset!$J:$J,"&lt;"&amp;$D64,Dataset!J:J,"&gt;="&amp;$C64)</f>
        <v>0</v>
      </c>
      <c r="G64" s="83">
        <f>SUMIFS(Dataset!$AK:$AK,Dataset!$F:$F,'retorno absoluto'!$D$11,Dataset!$AC:$AC,G$52,Dataset!$J:$J,"&lt;"&amp;$D64,Dataset!J:J,"&gt;="&amp;$C64)</f>
        <v>0</v>
      </c>
      <c r="H64" s="83">
        <f>SUMIFS(Dataset!$AK:$AK,Dataset!$F:$F,'retorno absoluto'!$D$11,Dataset!$AC:$AC,H$52,Dataset!$J:$J,"&lt;"&amp;$D64,Dataset!J:J,"&gt;="&amp;$C64)</f>
        <v>0</v>
      </c>
      <c r="I64" s="83">
        <f>SUMIFS(Dataset!$AK:$AK,Dataset!$F:$F,'retorno absoluto'!$D$11,Dataset!$AC:$AC,I$52,Dataset!$J:$J,"&lt;"&amp;$D64,Dataset!J:J,"&gt;="&amp;$C64)</f>
        <v>0</v>
      </c>
      <c r="J64" s="83">
        <f>SUMIFS(Dataset!$AK:$AK,Dataset!$F:$F,'retorno absoluto'!$D$11,Dataset!$AC:$AC,"A",Dataset!$J:$J,"&lt;"&amp;$D64,Dataset!$J:$J,"&gt;="&amp;$C64)+SUMIFS(Dataset!$AK:$AK,Dataset!$F:$F,'retorno absoluto'!$D$11,Dataset!$AC:$AC,"A-",Dataset!$J:$J,"&lt;"&amp;$D64,Dataset!$J:$J,"&gt;="&amp;$C64)+SUMIFS(Dataset!$AK:$AK,Dataset!$F:$F,'retorno absoluto'!$D$11,Dataset!$AC:$AC,"A+",Dataset!$J:$J,"&lt;"&amp;$D64,Dataset!$J:$J,"&gt;="&amp;$C64)</f>
        <v>0</v>
      </c>
      <c r="K64" s="83">
        <f>SUMIFS(Dataset!$AK:$AK,Dataset!$F:$F,'retorno absoluto'!$D$11,Dataset!$AC:$AC,"BBB",Dataset!$J:$J,"&lt;"&amp;$D64,Dataset!$J:$J,"&gt;="&amp;$C64)+SUMIFS(Dataset!$AK:$AK,Dataset!$F:$F,'retorno absoluto'!$D$11,Dataset!$AC:$AC,"BBB-",Dataset!$J:$J,"&lt;"&amp;$D64,Dataset!$J:$J,"&gt;="&amp;$C64)+SUMIFS(Dataset!$AK:$AK,Dataset!$F:$F,'retorno absoluto'!$D$11,Dataset!$AC:$AC,"BBB+",Dataset!$J:$J,"&lt;"&amp;$D64,Dataset!$J:$J,"&gt;="&amp;$C64)</f>
        <v>0</v>
      </c>
      <c r="L64" s="83">
        <f>SUMIFS(Dataset!$AK:$AK,Dataset!$F:$F,'retorno absoluto'!$D$11,Dataset!$J:$J,"&lt;"&amp;$D64,Dataset!$J:$J,"&gt;="&amp;$C64,Dataset!$AC:$AC,"&lt;&gt;N-1+",Dataset!$AC:$AC,"&lt;&gt;*AA*",Dataset!$AC:$AC,"&lt;&gt;*AAA*",Dataset!$AC:$AC,"&lt;&gt;A",Dataset!$AC:$AC,"&lt;&gt;A-",Dataset!$AC:$AC,"&lt;&gt;A+",Dataset!$AC:$AC,"&lt;&gt;*BBB*")</f>
        <v>0</v>
      </c>
      <c r="M64" s="84">
        <f t="shared" si="2"/>
        <v>0</v>
      </c>
      <c r="N64" s="82">
        <f>SUMIFS(Dataset!$AA:$AA,Dataset!$F:$F,'retorno absoluto'!$D$11,Dataset!$AC:$AC,N$52,Dataset!$J:$J,"&lt;"&amp;$D64,Dataset!$J:$J,"&gt;="&amp;$C64)</f>
        <v>0</v>
      </c>
      <c r="O64" s="83">
        <f>SUMIFS(Dataset!$AA:$AA,Dataset!$F:$F,'retorno absoluto'!$D$11,Dataset!$AC:$AC,O$52,Dataset!$J:$J,"&lt;"&amp;$D64,Dataset!$J:$J,"&gt;="&amp;$C64)</f>
        <v>0</v>
      </c>
      <c r="P64" s="83">
        <f>SUMIFS(Dataset!$AA:$AA,Dataset!$F:$F,'retorno absoluto'!$D$11,Dataset!$AC:$AC,P$52,Dataset!$J:$J,"&lt;"&amp;$D64,Dataset!$J:$J,"&gt;="&amp;$C64)</f>
        <v>0</v>
      </c>
      <c r="Q64" s="83">
        <f>SUMIFS(Dataset!$AA:$AA,Dataset!$F:$F,'retorno absoluto'!$D$11,Dataset!$AC:$AC,Q$52,Dataset!$J:$J,"&lt;"&amp;$D64,Dataset!$J:$J,"&gt;="&amp;$C64)</f>
        <v>0</v>
      </c>
      <c r="R64" s="83">
        <f>SUMIFS(Dataset!$AA:$AA,Dataset!$F:$F,'retorno absoluto'!$D$11,Dataset!$AC:$AC,R$52,Dataset!$J:$J,"&lt;"&amp;$D64,Dataset!$J:$J,"&gt;="&amp;$C64)</f>
        <v>0</v>
      </c>
      <c r="S64" s="83">
        <f>SUMIFS(Dataset!$AA:$AA,Dataset!$F:$F,'retorno absoluto'!$D$11,Dataset!$AC:$AC,"A",Dataset!$J:$J,"&lt;"&amp;$D64,Dataset!$J:$J,"&gt;="&amp;$C64)+SUMIFS(Dataset!$AA:$AA,Dataset!$F:$F,'retorno absoluto'!$D$11,Dataset!$AC:$AC,"A-",Dataset!$J:$J,"&lt;"&amp;$D64,Dataset!$J:$J,"&gt;="&amp;$C64)+SUMIFS(Dataset!$AA:$AA,Dataset!$F:$F,'retorno absoluto'!$D$11,Dataset!$AC:$AC,"A+",Dataset!$J:$J,"&lt;"&amp;$D64,Dataset!$J:$J,"&gt;="&amp;$C64)</f>
        <v>0</v>
      </c>
      <c r="T64" s="83">
        <f>SUMIFS(Dataset!$AA:$AA,Dataset!$F:$F,'retorno absoluto'!$D$11,Dataset!$AC:$AC,"BBB-",Dataset!$J:$J,"&lt;"&amp;$D64,Dataset!$J:$J,"&gt;="&amp;$C64)+SUMIFS(Dataset!$AA:$AA,Dataset!$F:$F,'retorno absoluto'!$D$11,Dataset!$AC:$AC,"BBB",Dataset!$J:$J,"&lt;"&amp;$D64,Dataset!$J:$J,"&gt;="&amp;$C64)+SUMIFS(Dataset!$AA:$AA,Dataset!$F:$F,'retorno absoluto'!$D$11,Dataset!$AC:$AC,"BBB+",Dataset!$J:$J,"&lt;"&amp;$D64,Dataset!$J:$J,"&gt;="&amp;$C64)</f>
        <v>0</v>
      </c>
      <c r="U64" s="83">
        <f>SUMIFS(Dataset!$AA:$AA,Dataset!$F:$F,'retorno absoluto'!$D$11,Dataset!$J:$J,"&lt;"&amp;$D64,Dataset!$J:$J,"&gt;="&amp;$C64,Dataset!$AC:$AC,"&lt;&gt;N-1+",Dataset!$AC:$AC,"&lt;&gt;*AA*",Dataset!$AC:$AC,"&lt;&gt;*AAA*",Dataset!$AC:$AC,"&lt;&gt;A",Dataset!$AC:$AC,"&lt;&gt;A-",Dataset!$AC:$AC,"&lt;&gt;A+",Dataset!$AC:$AC,"&lt;&gt;*BBB*")</f>
        <v>0</v>
      </c>
      <c r="V64" s="84">
        <f t="shared" si="3"/>
        <v>0</v>
      </c>
      <c r="W64" s="85">
        <f>10*SUMIFS(Dataset!$H:$H,Dataset!$F:$F,'retorno absoluto'!$D$11,Dataset!$AC:$AC,W$52,Dataset!$J:$J,"&lt;"&amp;$D64,Dataset!J:J,"&gt;="&amp;$C64)</f>
        <v>0</v>
      </c>
      <c r="X64" s="86">
        <f>10*SUMIFS(Dataset!$H:$H,Dataset!$F:$F,'retorno absoluto'!$D$11,Dataset!$AC:$AC,X$52,Dataset!$J:$J,"&lt;"&amp;$D64,Dataset!J:J,"&gt;="&amp;$C64)</f>
        <v>0</v>
      </c>
      <c r="Y64" s="86">
        <f>10*SUMIFS(Dataset!$H:$H,Dataset!$F:$F,'retorno absoluto'!$D$11,Dataset!$AC:$AC,Y$52,Dataset!$J:$J,"&lt;"&amp;$D64,Dataset!J:J,"&gt;="&amp;$C64)</f>
        <v>0</v>
      </c>
      <c r="Z64" s="86">
        <f>10*SUMIFS(Dataset!$H:$H,Dataset!$F:$F,'retorno absoluto'!$D$11,Dataset!$AC:$AC,Z$52,Dataset!$J:$J,"&lt;"&amp;$D64,Dataset!J:J,"&gt;="&amp;$C64)</f>
        <v>0</v>
      </c>
      <c r="AA64" s="86">
        <f>10*SUMIFS(Dataset!$H:$H,Dataset!$F:$F,'retorno absoluto'!$D$11,Dataset!$AC:$AC,AA$52,Dataset!$J:$J,"&lt;"&amp;$D64,Dataset!J:J,"&gt;="&amp;$C64)</f>
        <v>0</v>
      </c>
      <c r="AB64" s="86">
        <f>10*SUMIFS(Dataset!$H:$H,Dataset!$F:$F,'retorno absoluto'!$D$11,Dataset!$AC:$AC,"A",Dataset!$J:$J,"&lt;"&amp;$D64,Dataset!$J:$J,"&gt;="&amp;$C64)+10*SUMIFS(Dataset!$H:$H,Dataset!$F:$F,'retorno absoluto'!$D$11,Dataset!$AC:$AC,"A-",Dataset!$J:$J,"&lt;"&amp;$D64,Dataset!$J:$J,"&gt;="&amp;$C64)+10*SUMIFS(Dataset!$H:$H,Dataset!$F:$F,'retorno absoluto'!$D$11,Dataset!$AC:$AC,"A+",Dataset!$J:$J,"&lt;"&amp;$D64,Dataset!$J:$J,"&gt;="&amp;$C64)</f>
        <v>0</v>
      </c>
      <c r="AC64" s="86">
        <f>10*SUMIFS(Dataset!$H:$H,Dataset!$F:$F,'retorno absoluto'!$D$11,Dataset!$AC:$AC,"BBB",Dataset!$J:$J,"&lt;"&amp;$D64,Dataset!$J:$J,"&gt;="&amp;$C64)+10*SUMIFS(Dataset!$H:$H,Dataset!$F:$F,'retorno absoluto'!$D$11,Dataset!$AC:$AC,"BBB-",Dataset!$J:$J,"&lt;"&amp;$D64,Dataset!$J:$J,"&gt;="&amp;$C64)+10*SUMIFS(Dataset!$H:$H,Dataset!$F:$F,'retorno absoluto'!$D$11,Dataset!$AC:$AC,"BBB+",Dataset!$J:$J,"&lt;"&amp;$D64,Dataset!$J:$J,"&gt;="&amp;$C64)</f>
        <v>0</v>
      </c>
      <c r="AD64" s="86">
        <f>10*SUMIFS(Dataset!$H:$H,Dataset!$F:$F,'retorno absoluto'!$D$11,Dataset!$J:$J,"&lt;"&amp;$D64,Dataset!$J:$J,"&gt;="&amp;$C64,Dataset!$AC:$AC,"&lt;&gt;N-1+",Dataset!$AC:$AC,"&lt;&gt;*AA*",Dataset!$AC:$AC,"&lt;&gt;*AAA*",Dataset!$AC:$AC,"&lt;&gt;A",Dataset!$AC:$AC,"&lt;&gt;A-",Dataset!$AC:$AC,"&lt;&gt;A+",Dataset!$AC:$AC,"&lt;&gt;*BBB*")</f>
        <v>0</v>
      </c>
      <c r="AE64" s="87">
        <f t="shared" si="4"/>
        <v>0</v>
      </c>
    </row>
    <row r="65" spans="2:40" ht="33" customHeight="1" x14ac:dyDescent="0.3">
      <c r="C65" s="61">
        <v>11.5</v>
      </c>
      <c r="D65" s="81">
        <v>12.5</v>
      </c>
      <c r="E65" s="82">
        <f>SUMIFS(Dataset!$AK:$AK,Dataset!$F:$F,'retorno absoluto'!$D$11,Dataset!$AC:$AC,E$52,Dataset!$J:$J,"&lt;"&amp;$D65,Dataset!J:J,"&gt;="&amp;$C65)</f>
        <v>0</v>
      </c>
      <c r="F65" s="83">
        <f>SUMIFS(Dataset!$AK:$AK,Dataset!$F:$F,'retorno absoluto'!$D$11,Dataset!$AC:$AC,F$52,Dataset!$J:$J,"&lt;"&amp;$D65,Dataset!J:J,"&gt;="&amp;$C65)</f>
        <v>0</v>
      </c>
      <c r="G65" s="83">
        <f>SUMIFS(Dataset!$AK:$AK,Dataset!$F:$F,'retorno absoluto'!$D$11,Dataset!$AC:$AC,G$52,Dataset!$J:$J,"&lt;"&amp;$D65,Dataset!J:J,"&gt;="&amp;$C65)</f>
        <v>0</v>
      </c>
      <c r="H65" s="83">
        <f>SUMIFS(Dataset!$AK:$AK,Dataset!$F:$F,'retorno absoluto'!$D$11,Dataset!$AC:$AC,H$52,Dataset!$J:$J,"&lt;"&amp;$D65,Dataset!J:J,"&gt;="&amp;$C65)</f>
        <v>0</v>
      </c>
      <c r="I65" s="83">
        <f>SUMIFS(Dataset!$AK:$AK,Dataset!$F:$F,'retorno absoluto'!$D$11,Dataset!$AC:$AC,I$52,Dataset!$J:$J,"&lt;"&amp;$D65,Dataset!J:J,"&gt;="&amp;$C65)</f>
        <v>0</v>
      </c>
      <c r="J65" s="83">
        <f>SUMIFS(Dataset!$AK:$AK,Dataset!$F:$F,'retorno absoluto'!$D$11,Dataset!$AC:$AC,"A",Dataset!$J:$J,"&lt;"&amp;$D65,Dataset!$J:$J,"&gt;="&amp;$C65)+SUMIFS(Dataset!$AK:$AK,Dataset!$F:$F,'retorno absoluto'!$D$11,Dataset!$AC:$AC,"A-",Dataset!$J:$J,"&lt;"&amp;$D65,Dataset!$J:$J,"&gt;="&amp;$C65)+SUMIFS(Dataset!$AK:$AK,Dataset!$F:$F,'retorno absoluto'!$D$11,Dataset!$AC:$AC,"A+",Dataset!$J:$J,"&lt;"&amp;$D65,Dataset!$J:$J,"&gt;="&amp;$C65)</f>
        <v>0</v>
      </c>
      <c r="K65" s="83">
        <f>SUMIFS(Dataset!$AK:$AK,Dataset!$F:$F,'retorno absoluto'!$D$11,Dataset!$AC:$AC,"BBB",Dataset!$J:$J,"&lt;"&amp;$D65,Dataset!$J:$J,"&gt;="&amp;$C65)+SUMIFS(Dataset!$AK:$AK,Dataset!$F:$F,'retorno absoluto'!$D$11,Dataset!$AC:$AC,"BBB-",Dataset!$J:$J,"&lt;"&amp;$D65,Dataset!$J:$J,"&gt;="&amp;$C65)+SUMIFS(Dataset!$AK:$AK,Dataset!$F:$F,'retorno absoluto'!$D$11,Dataset!$AC:$AC,"BBB+",Dataset!$J:$J,"&lt;"&amp;$D65,Dataset!$J:$J,"&gt;="&amp;$C65)</f>
        <v>0</v>
      </c>
      <c r="L65" s="83">
        <f>SUMIFS(Dataset!$AK:$AK,Dataset!$F:$F,'retorno absoluto'!$D$11,Dataset!$J:$J,"&lt;"&amp;$D65,Dataset!$J:$J,"&gt;="&amp;$C65,Dataset!$AC:$AC,"&lt;&gt;N-1+",Dataset!$AC:$AC,"&lt;&gt;*AA*",Dataset!$AC:$AC,"&lt;&gt;*AAA*",Dataset!$AC:$AC,"&lt;&gt;A",Dataset!$AC:$AC,"&lt;&gt;A-",Dataset!$AC:$AC,"&lt;&gt;A+",Dataset!$AC:$AC,"&lt;&gt;*BBB*")</f>
        <v>0</v>
      </c>
      <c r="M65" s="84">
        <f t="shared" si="2"/>
        <v>0</v>
      </c>
      <c r="N65" s="82">
        <f>SUMIFS(Dataset!$AA:$AA,Dataset!$F:$F,'retorno absoluto'!$D$11,Dataset!$AC:$AC,N$52,Dataset!$J:$J,"&lt;"&amp;$D65,Dataset!$J:$J,"&gt;="&amp;$C65)</f>
        <v>0</v>
      </c>
      <c r="O65" s="83">
        <f>SUMIFS(Dataset!$AA:$AA,Dataset!$F:$F,'retorno absoluto'!$D$11,Dataset!$AC:$AC,O$52,Dataset!$J:$J,"&lt;"&amp;$D65,Dataset!$J:$J,"&gt;="&amp;$C65)</f>
        <v>0</v>
      </c>
      <c r="P65" s="83">
        <f>SUMIFS(Dataset!$AA:$AA,Dataset!$F:$F,'retorno absoluto'!$D$11,Dataset!$AC:$AC,P$52,Dataset!$J:$J,"&lt;"&amp;$D65,Dataset!$J:$J,"&gt;="&amp;$C65)</f>
        <v>0</v>
      </c>
      <c r="Q65" s="83">
        <f>SUMIFS(Dataset!$AA:$AA,Dataset!$F:$F,'retorno absoluto'!$D$11,Dataset!$AC:$AC,Q$52,Dataset!$J:$J,"&lt;"&amp;$D65,Dataset!$J:$J,"&gt;="&amp;$C65)</f>
        <v>0</v>
      </c>
      <c r="R65" s="83">
        <f>SUMIFS(Dataset!$AA:$AA,Dataset!$F:$F,'retorno absoluto'!$D$11,Dataset!$AC:$AC,R$52,Dataset!$J:$J,"&lt;"&amp;$D65,Dataset!$J:$J,"&gt;="&amp;$C65)</f>
        <v>0</v>
      </c>
      <c r="S65" s="83">
        <f>SUMIFS(Dataset!$AA:$AA,Dataset!$F:$F,'retorno absoluto'!$D$11,Dataset!$AC:$AC,"A",Dataset!$J:$J,"&lt;"&amp;$D65,Dataset!$J:$J,"&gt;="&amp;$C65)+SUMIFS(Dataset!$AA:$AA,Dataset!$F:$F,'retorno absoluto'!$D$11,Dataset!$AC:$AC,"A-",Dataset!$J:$J,"&lt;"&amp;$D65,Dataset!$J:$J,"&gt;="&amp;$C65)+SUMIFS(Dataset!$AA:$AA,Dataset!$F:$F,'retorno absoluto'!$D$11,Dataset!$AC:$AC,"A+",Dataset!$J:$J,"&lt;"&amp;$D65,Dataset!$J:$J,"&gt;="&amp;$C65)</f>
        <v>0</v>
      </c>
      <c r="T65" s="83">
        <f>SUMIFS(Dataset!$AA:$AA,Dataset!$F:$F,'retorno absoluto'!$D$11,Dataset!$AC:$AC,"BBB-",Dataset!$J:$J,"&lt;"&amp;$D65,Dataset!$J:$J,"&gt;="&amp;$C65)+SUMIFS(Dataset!$AA:$AA,Dataset!$F:$F,'retorno absoluto'!$D$11,Dataset!$AC:$AC,"BBB",Dataset!$J:$J,"&lt;"&amp;$D65,Dataset!$J:$J,"&gt;="&amp;$C65)+SUMIFS(Dataset!$AA:$AA,Dataset!$F:$F,'retorno absoluto'!$D$11,Dataset!$AC:$AC,"BBB+",Dataset!$J:$J,"&lt;"&amp;$D65,Dataset!$J:$J,"&gt;="&amp;$C65)</f>
        <v>0</v>
      </c>
      <c r="U65" s="83">
        <f>SUMIFS(Dataset!$AA:$AA,Dataset!$F:$F,'retorno absoluto'!$D$11,Dataset!$J:$J,"&lt;"&amp;$D65,Dataset!$J:$J,"&gt;="&amp;$C65,Dataset!$AC:$AC,"&lt;&gt;N-1+",Dataset!$AC:$AC,"&lt;&gt;*AA*",Dataset!$AC:$AC,"&lt;&gt;*AAA*",Dataset!$AC:$AC,"&lt;&gt;A",Dataset!$AC:$AC,"&lt;&gt;A-",Dataset!$AC:$AC,"&lt;&gt;A+",Dataset!$AC:$AC,"&lt;&gt;*BBB*")</f>
        <v>0</v>
      </c>
      <c r="V65" s="84">
        <f t="shared" si="3"/>
        <v>0</v>
      </c>
      <c r="W65" s="85">
        <f>10*SUMIFS(Dataset!$H:$H,Dataset!$F:$F,'retorno absoluto'!$D$11,Dataset!$AC:$AC,W$52,Dataset!$J:$J,"&lt;"&amp;$D65,Dataset!J:J,"&gt;="&amp;$C65)</f>
        <v>0</v>
      </c>
      <c r="X65" s="86">
        <f>10*SUMIFS(Dataset!$H:$H,Dataset!$F:$F,'retorno absoluto'!$D$11,Dataset!$AC:$AC,X$52,Dataset!$J:$J,"&lt;"&amp;$D65,Dataset!J:J,"&gt;="&amp;$C65)</f>
        <v>0</v>
      </c>
      <c r="Y65" s="86">
        <f>10*SUMIFS(Dataset!$H:$H,Dataset!$F:$F,'retorno absoluto'!$D$11,Dataset!$AC:$AC,Y$52,Dataset!$J:$J,"&lt;"&amp;$D65,Dataset!J:J,"&gt;="&amp;$C65)</f>
        <v>0</v>
      </c>
      <c r="Z65" s="86">
        <f>10*SUMIFS(Dataset!$H:$H,Dataset!$F:$F,'retorno absoluto'!$D$11,Dataset!$AC:$AC,Z$52,Dataset!$J:$J,"&lt;"&amp;$D65,Dataset!J:J,"&gt;="&amp;$C65)</f>
        <v>0</v>
      </c>
      <c r="AA65" s="86">
        <f>10*SUMIFS(Dataset!$H:$H,Dataset!$F:$F,'retorno absoluto'!$D$11,Dataset!$AC:$AC,AA$52,Dataset!$J:$J,"&lt;"&amp;$D65,Dataset!J:J,"&gt;="&amp;$C65)</f>
        <v>0</v>
      </c>
      <c r="AB65" s="86">
        <f>10*SUMIFS(Dataset!$H:$H,Dataset!$F:$F,'retorno absoluto'!$D$11,Dataset!$AC:$AC,"A",Dataset!$J:$J,"&lt;"&amp;$D65,Dataset!$J:$J,"&gt;="&amp;$C65)+10*SUMIFS(Dataset!$H:$H,Dataset!$F:$F,'retorno absoluto'!$D$11,Dataset!$AC:$AC,"A-",Dataset!$J:$J,"&lt;"&amp;$D65,Dataset!$J:$J,"&gt;="&amp;$C65)+10*SUMIFS(Dataset!$H:$H,Dataset!$F:$F,'retorno absoluto'!$D$11,Dataset!$AC:$AC,"A+",Dataset!$J:$J,"&lt;"&amp;$D65,Dataset!$J:$J,"&gt;="&amp;$C65)</f>
        <v>0</v>
      </c>
      <c r="AC65" s="86">
        <f>10*SUMIFS(Dataset!$H:$H,Dataset!$F:$F,'retorno absoluto'!$D$11,Dataset!$AC:$AC,"BBB",Dataset!$J:$J,"&lt;"&amp;$D65,Dataset!$J:$J,"&gt;="&amp;$C65)+10*SUMIFS(Dataset!$H:$H,Dataset!$F:$F,'retorno absoluto'!$D$11,Dataset!$AC:$AC,"BBB-",Dataset!$J:$J,"&lt;"&amp;$D65,Dataset!$J:$J,"&gt;="&amp;$C65)+10*SUMIFS(Dataset!$H:$H,Dataset!$F:$F,'retorno absoluto'!$D$11,Dataset!$AC:$AC,"BBB+",Dataset!$J:$J,"&lt;"&amp;$D65,Dataset!$J:$J,"&gt;="&amp;$C65)</f>
        <v>0</v>
      </c>
      <c r="AD65" s="86">
        <f>10*SUMIFS(Dataset!$H:$H,Dataset!$F:$F,'retorno absoluto'!$D$11,Dataset!$J:$J,"&lt;"&amp;$D65,Dataset!$J:$J,"&gt;="&amp;$C65,Dataset!$AC:$AC,"&lt;&gt;N-1+",Dataset!$AC:$AC,"&lt;&gt;*AA*",Dataset!$AC:$AC,"&lt;&gt;*AAA*",Dataset!$AC:$AC,"&lt;&gt;A",Dataset!$AC:$AC,"&lt;&gt;A-",Dataset!$AC:$AC,"&lt;&gt;A+",Dataset!$AC:$AC,"&lt;&gt;*BBB*")</f>
        <v>0</v>
      </c>
      <c r="AE65" s="87">
        <f t="shared" si="4"/>
        <v>0</v>
      </c>
    </row>
    <row r="66" spans="2:40" ht="33" customHeight="1" x14ac:dyDescent="0.3">
      <c r="C66" s="61">
        <v>12.5</v>
      </c>
      <c r="D66" s="81">
        <v>13.5</v>
      </c>
      <c r="E66" s="82">
        <f>SUMIFS(Dataset!$AK:$AK,Dataset!$F:$F,'retorno absoluto'!$D$11,Dataset!$AC:$AC,E$52,Dataset!$J:$J,"&lt;"&amp;$D66,Dataset!J:J,"&gt;="&amp;$C66)</f>
        <v>0</v>
      </c>
      <c r="F66" s="83">
        <f>SUMIFS(Dataset!$AK:$AK,Dataset!$F:$F,'retorno absoluto'!$D$11,Dataset!$AC:$AC,F$52,Dataset!$J:$J,"&lt;"&amp;$D66,Dataset!J:J,"&gt;="&amp;$C66)</f>
        <v>0</v>
      </c>
      <c r="G66" s="83">
        <f>SUMIFS(Dataset!$AK:$AK,Dataset!$F:$F,'retorno absoluto'!$D$11,Dataset!$AC:$AC,G$52,Dataset!$J:$J,"&lt;"&amp;$D66,Dataset!J:J,"&gt;="&amp;$C66)</f>
        <v>0</v>
      </c>
      <c r="H66" s="83">
        <f>SUMIFS(Dataset!$AK:$AK,Dataset!$F:$F,'retorno absoluto'!$D$11,Dataset!$AC:$AC,H$52,Dataset!$J:$J,"&lt;"&amp;$D66,Dataset!J:J,"&gt;="&amp;$C66)</f>
        <v>0</v>
      </c>
      <c r="I66" s="83">
        <f>SUMIFS(Dataset!$AK:$AK,Dataset!$F:$F,'retorno absoluto'!$D$11,Dataset!$AC:$AC,I$52,Dataset!$J:$J,"&lt;"&amp;$D66,Dataset!J:J,"&gt;="&amp;$C66)</f>
        <v>0</v>
      </c>
      <c r="J66" s="83">
        <f>SUMIFS(Dataset!$AK:$AK,Dataset!$F:$F,'retorno absoluto'!$D$11,Dataset!$AC:$AC,"A",Dataset!$J:$J,"&lt;"&amp;$D66,Dataset!$J:$J,"&gt;="&amp;$C66)+SUMIFS(Dataset!$AK:$AK,Dataset!$F:$F,'retorno absoluto'!$D$11,Dataset!$AC:$AC,"A-",Dataset!$J:$J,"&lt;"&amp;$D66,Dataset!$J:$J,"&gt;="&amp;$C66)+SUMIFS(Dataset!$AK:$AK,Dataset!$F:$F,'retorno absoluto'!$D$11,Dataset!$AC:$AC,"A+",Dataset!$J:$J,"&lt;"&amp;$D66,Dataset!$J:$J,"&gt;="&amp;$C66)</f>
        <v>0</v>
      </c>
      <c r="K66" s="83">
        <f>SUMIFS(Dataset!$AK:$AK,Dataset!$F:$F,'retorno absoluto'!$D$11,Dataset!$AC:$AC,"BBB",Dataset!$J:$J,"&lt;"&amp;$D66,Dataset!$J:$J,"&gt;="&amp;$C66)+SUMIFS(Dataset!$AK:$AK,Dataset!$F:$F,'retorno absoluto'!$D$11,Dataset!$AC:$AC,"BBB-",Dataset!$J:$J,"&lt;"&amp;$D66,Dataset!$J:$J,"&gt;="&amp;$C66)+SUMIFS(Dataset!$AK:$AK,Dataset!$F:$F,'retorno absoluto'!$D$11,Dataset!$AC:$AC,"BBB+",Dataset!$J:$J,"&lt;"&amp;$D66,Dataset!$J:$J,"&gt;="&amp;$C66)</f>
        <v>0</v>
      </c>
      <c r="L66" s="83">
        <f>SUMIFS(Dataset!$AK:$AK,Dataset!$F:$F,'retorno absoluto'!$D$11,Dataset!$J:$J,"&lt;"&amp;$D66,Dataset!$J:$J,"&gt;="&amp;$C66,Dataset!$AC:$AC,"&lt;&gt;N-1+",Dataset!$AC:$AC,"&lt;&gt;*AA*",Dataset!$AC:$AC,"&lt;&gt;*AAA*",Dataset!$AC:$AC,"&lt;&gt;A",Dataset!$AC:$AC,"&lt;&gt;A-",Dataset!$AC:$AC,"&lt;&gt;A+",Dataset!$AC:$AC,"&lt;&gt;*BBB*")</f>
        <v>0</v>
      </c>
      <c r="M66" s="84">
        <f t="shared" si="2"/>
        <v>0</v>
      </c>
      <c r="N66" s="82">
        <f>SUMIFS(Dataset!$AA:$AA,Dataset!$F:$F,'retorno absoluto'!$D$11,Dataset!$AC:$AC,N$52,Dataset!$J:$J,"&lt;"&amp;$D66,Dataset!$J:$J,"&gt;="&amp;$C66)</f>
        <v>0</v>
      </c>
      <c r="O66" s="83">
        <f>SUMIFS(Dataset!$AA:$AA,Dataset!$F:$F,'retorno absoluto'!$D$11,Dataset!$AC:$AC,O$52,Dataset!$J:$J,"&lt;"&amp;$D66,Dataset!$J:$J,"&gt;="&amp;$C66)</f>
        <v>0</v>
      </c>
      <c r="P66" s="83">
        <f>SUMIFS(Dataset!$AA:$AA,Dataset!$F:$F,'retorno absoluto'!$D$11,Dataset!$AC:$AC,P$52,Dataset!$J:$J,"&lt;"&amp;$D66,Dataset!$J:$J,"&gt;="&amp;$C66)</f>
        <v>0</v>
      </c>
      <c r="Q66" s="83">
        <f>SUMIFS(Dataset!$AA:$AA,Dataset!$F:$F,'retorno absoluto'!$D$11,Dataset!$AC:$AC,Q$52,Dataset!$J:$J,"&lt;"&amp;$D66,Dataset!$J:$J,"&gt;="&amp;$C66)</f>
        <v>0</v>
      </c>
      <c r="R66" s="83">
        <f>SUMIFS(Dataset!$AA:$AA,Dataset!$F:$F,'retorno absoluto'!$D$11,Dataset!$AC:$AC,R$52,Dataset!$J:$J,"&lt;"&amp;$D66,Dataset!$J:$J,"&gt;="&amp;$C66)</f>
        <v>0</v>
      </c>
      <c r="S66" s="83">
        <f>SUMIFS(Dataset!$AA:$AA,Dataset!$F:$F,'retorno absoluto'!$D$11,Dataset!$AC:$AC,"A",Dataset!$J:$J,"&lt;"&amp;$D66,Dataset!$J:$J,"&gt;="&amp;$C66)+SUMIFS(Dataset!$AA:$AA,Dataset!$F:$F,'retorno absoluto'!$D$11,Dataset!$AC:$AC,"A-",Dataset!$J:$J,"&lt;"&amp;$D66,Dataset!$J:$J,"&gt;="&amp;$C66)+SUMIFS(Dataset!$AA:$AA,Dataset!$F:$F,'retorno absoluto'!$D$11,Dataset!$AC:$AC,"A+",Dataset!$J:$J,"&lt;"&amp;$D66,Dataset!$J:$J,"&gt;="&amp;$C66)</f>
        <v>0</v>
      </c>
      <c r="T66" s="83">
        <f>SUMIFS(Dataset!$AA:$AA,Dataset!$F:$F,'retorno absoluto'!$D$11,Dataset!$AC:$AC,"BBB-",Dataset!$J:$J,"&lt;"&amp;$D66,Dataset!$J:$J,"&gt;="&amp;$C66)+SUMIFS(Dataset!$AA:$AA,Dataset!$F:$F,'retorno absoluto'!$D$11,Dataset!$AC:$AC,"BBB",Dataset!$J:$J,"&lt;"&amp;$D66,Dataset!$J:$J,"&gt;="&amp;$C66)+SUMIFS(Dataset!$AA:$AA,Dataset!$F:$F,'retorno absoluto'!$D$11,Dataset!$AC:$AC,"BBB+",Dataset!$J:$J,"&lt;"&amp;$D66,Dataset!$J:$J,"&gt;="&amp;$C66)</f>
        <v>0</v>
      </c>
      <c r="U66" s="83">
        <f>SUMIFS(Dataset!$AA:$AA,Dataset!$F:$F,'retorno absoluto'!$D$11,Dataset!$J:$J,"&lt;"&amp;$D66,Dataset!$J:$J,"&gt;="&amp;$C66,Dataset!$AC:$AC,"&lt;&gt;N-1+",Dataset!$AC:$AC,"&lt;&gt;*AA*",Dataset!$AC:$AC,"&lt;&gt;*AAA*",Dataset!$AC:$AC,"&lt;&gt;A",Dataset!$AC:$AC,"&lt;&gt;A-",Dataset!$AC:$AC,"&lt;&gt;A+",Dataset!$AC:$AC,"&lt;&gt;*BBB*")</f>
        <v>0</v>
      </c>
      <c r="V66" s="84">
        <f t="shared" si="3"/>
        <v>0</v>
      </c>
      <c r="W66" s="85">
        <f>10*SUMIFS(Dataset!$H:$H,Dataset!$F:$F,'retorno absoluto'!$D$11,Dataset!$AC:$AC,W$52,Dataset!$J:$J,"&lt;"&amp;$D66,Dataset!J:J,"&gt;="&amp;$C66)</f>
        <v>0</v>
      </c>
      <c r="X66" s="86">
        <f>10*SUMIFS(Dataset!$H:$H,Dataset!$F:$F,'retorno absoluto'!$D$11,Dataset!$AC:$AC,X$52,Dataset!$J:$J,"&lt;"&amp;$D66,Dataset!J:J,"&gt;="&amp;$C66)</f>
        <v>0</v>
      </c>
      <c r="Y66" s="86">
        <f>10*SUMIFS(Dataset!$H:$H,Dataset!$F:$F,'retorno absoluto'!$D$11,Dataset!$AC:$AC,Y$52,Dataset!$J:$J,"&lt;"&amp;$D66,Dataset!J:J,"&gt;="&amp;$C66)</f>
        <v>0</v>
      </c>
      <c r="Z66" s="86">
        <f>10*SUMIFS(Dataset!$H:$H,Dataset!$F:$F,'retorno absoluto'!$D$11,Dataset!$AC:$AC,Z$52,Dataset!$J:$J,"&lt;"&amp;$D66,Dataset!J:J,"&gt;="&amp;$C66)</f>
        <v>0</v>
      </c>
      <c r="AA66" s="86">
        <f>10*SUMIFS(Dataset!$H:$H,Dataset!$F:$F,'retorno absoluto'!$D$11,Dataset!$AC:$AC,AA$52,Dataset!$J:$J,"&lt;"&amp;$D66,Dataset!J:J,"&gt;="&amp;$C66)</f>
        <v>0</v>
      </c>
      <c r="AB66" s="86">
        <f>10*SUMIFS(Dataset!$H:$H,Dataset!$F:$F,'retorno absoluto'!$D$11,Dataset!$AC:$AC,"A",Dataset!$J:$J,"&lt;"&amp;$D66,Dataset!$J:$J,"&gt;="&amp;$C66)+10*SUMIFS(Dataset!$H:$H,Dataset!$F:$F,'retorno absoluto'!$D$11,Dataset!$AC:$AC,"A-",Dataset!$J:$J,"&lt;"&amp;$D66,Dataset!$J:$J,"&gt;="&amp;$C66)+10*SUMIFS(Dataset!$H:$H,Dataset!$F:$F,'retorno absoluto'!$D$11,Dataset!$AC:$AC,"A+",Dataset!$J:$J,"&lt;"&amp;$D66,Dataset!$J:$J,"&gt;="&amp;$C66)</f>
        <v>0</v>
      </c>
      <c r="AC66" s="86">
        <f>10*SUMIFS(Dataset!$H:$H,Dataset!$F:$F,'retorno absoluto'!$D$11,Dataset!$AC:$AC,"BBB",Dataset!$J:$J,"&lt;"&amp;$D66,Dataset!$J:$J,"&gt;="&amp;$C66)+10*SUMIFS(Dataset!$H:$H,Dataset!$F:$F,'retorno absoluto'!$D$11,Dataset!$AC:$AC,"BBB-",Dataset!$J:$J,"&lt;"&amp;$D66,Dataset!$J:$J,"&gt;="&amp;$C66)+10*SUMIFS(Dataset!$H:$H,Dataset!$F:$F,'retorno absoluto'!$D$11,Dataset!$AC:$AC,"BBB+",Dataset!$J:$J,"&lt;"&amp;$D66,Dataset!$J:$J,"&gt;="&amp;$C66)</f>
        <v>0</v>
      </c>
      <c r="AD66" s="86">
        <f>10*SUMIFS(Dataset!$H:$H,Dataset!$F:$F,'retorno absoluto'!$D$11,Dataset!$J:$J,"&lt;"&amp;$D66,Dataset!$J:$J,"&gt;="&amp;$C66,Dataset!$AC:$AC,"&lt;&gt;N-1+",Dataset!$AC:$AC,"&lt;&gt;*AA*",Dataset!$AC:$AC,"&lt;&gt;*AAA*",Dataset!$AC:$AC,"&lt;&gt;A",Dataset!$AC:$AC,"&lt;&gt;A-",Dataset!$AC:$AC,"&lt;&gt;A+",Dataset!$AC:$AC,"&lt;&gt;*BBB*")</f>
        <v>0</v>
      </c>
      <c r="AE66" s="87">
        <f t="shared" si="4"/>
        <v>0</v>
      </c>
    </row>
    <row r="67" spans="2:40" ht="33" customHeight="1" x14ac:dyDescent="0.3">
      <c r="C67" s="61">
        <v>13.5</v>
      </c>
      <c r="D67" s="81">
        <v>14.5</v>
      </c>
      <c r="E67" s="82">
        <f>SUMIFS(Dataset!$AK:$AK,Dataset!$F:$F,'retorno absoluto'!$D$11,Dataset!$AC:$AC,E$52,Dataset!$J:$J,"&lt;"&amp;$D67,Dataset!J:J,"&gt;="&amp;$C67)</f>
        <v>0</v>
      </c>
      <c r="F67" s="83">
        <f>SUMIFS(Dataset!$AK:$AK,Dataset!$F:$F,'retorno absoluto'!$D$11,Dataset!$AC:$AC,F$52,Dataset!$J:$J,"&lt;"&amp;$D67,Dataset!J:J,"&gt;="&amp;$C67)</f>
        <v>0</v>
      </c>
      <c r="G67" s="83">
        <f>SUMIFS(Dataset!$AK:$AK,Dataset!$F:$F,'retorno absoluto'!$D$11,Dataset!$AC:$AC,G$52,Dataset!$J:$J,"&lt;"&amp;$D67,Dataset!J:J,"&gt;="&amp;$C67)</f>
        <v>0</v>
      </c>
      <c r="H67" s="83">
        <f>SUMIFS(Dataset!$AK:$AK,Dataset!$F:$F,'retorno absoluto'!$D$11,Dataset!$AC:$AC,H$52,Dataset!$J:$J,"&lt;"&amp;$D67,Dataset!J:J,"&gt;="&amp;$C67)</f>
        <v>0</v>
      </c>
      <c r="I67" s="83">
        <f>SUMIFS(Dataset!$AK:$AK,Dataset!$F:$F,'retorno absoluto'!$D$11,Dataset!$AC:$AC,I$52,Dataset!$J:$J,"&lt;"&amp;$D67,Dataset!J:J,"&gt;="&amp;$C67)</f>
        <v>0</v>
      </c>
      <c r="J67" s="83">
        <f>SUMIFS(Dataset!$AK:$AK,Dataset!$F:$F,'retorno absoluto'!$D$11,Dataset!$AC:$AC,"A",Dataset!$J:$J,"&lt;"&amp;$D67,Dataset!$J:$J,"&gt;="&amp;$C67)+SUMIFS(Dataset!$AK:$AK,Dataset!$F:$F,'retorno absoluto'!$D$11,Dataset!$AC:$AC,"A-",Dataset!$J:$J,"&lt;"&amp;$D67,Dataset!$J:$J,"&gt;="&amp;$C67)+SUMIFS(Dataset!$AK:$AK,Dataset!$F:$F,'retorno absoluto'!$D$11,Dataset!$AC:$AC,"A+",Dataset!$J:$J,"&lt;"&amp;$D67,Dataset!$J:$J,"&gt;="&amp;$C67)</f>
        <v>0</v>
      </c>
      <c r="K67" s="83">
        <f>SUMIFS(Dataset!$AK:$AK,Dataset!$F:$F,'retorno absoluto'!$D$11,Dataset!$AC:$AC,"BBB",Dataset!$J:$J,"&lt;"&amp;$D67,Dataset!$J:$J,"&gt;="&amp;$C67)+SUMIFS(Dataset!$AK:$AK,Dataset!$F:$F,'retorno absoluto'!$D$11,Dataset!$AC:$AC,"BBB-",Dataset!$J:$J,"&lt;"&amp;$D67,Dataset!$J:$J,"&gt;="&amp;$C67)+SUMIFS(Dataset!$AK:$AK,Dataset!$F:$F,'retorno absoluto'!$D$11,Dataset!$AC:$AC,"BBB+",Dataset!$J:$J,"&lt;"&amp;$D67,Dataset!$J:$J,"&gt;="&amp;$C67)</f>
        <v>0</v>
      </c>
      <c r="L67" s="83">
        <f>SUMIFS(Dataset!$AK:$AK,Dataset!$F:$F,'retorno absoluto'!$D$11,Dataset!$J:$J,"&lt;"&amp;$D67,Dataset!$J:$J,"&gt;="&amp;$C67,Dataset!$AC:$AC,"&lt;&gt;N-1+",Dataset!$AC:$AC,"&lt;&gt;*AA*",Dataset!$AC:$AC,"&lt;&gt;*AAA*",Dataset!$AC:$AC,"&lt;&gt;A",Dataset!$AC:$AC,"&lt;&gt;A-",Dataset!$AC:$AC,"&lt;&gt;A+",Dataset!$AC:$AC,"&lt;&gt;*BBB*")</f>
        <v>0</v>
      </c>
      <c r="M67" s="84">
        <f t="shared" si="2"/>
        <v>0</v>
      </c>
      <c r="N67" s="82">
        <f>SUMIFS(Dataset!$AA:$AA,Dataset!$F:$F,'retorno absoluto'!$D$11,Dataset!$AC:$AC,N$52,Dataset!$J:$J,"&lt;"&amp;$D67,Dataset!$J:$J,"&gt;="&amp;$C67)</f>
        <v>0</v>
      </c>
      <c r="O67" s="83">
        <f>SUMIFS(Dataset!$AA:$AA,Dataset!$F:$F,'retorno absoluto'!$D$11,Dataset!$AC:$AC,O$52,Dataset!$J:$J,"&lt;"&amp;$D67,Dataset!$J:$J,"&gt;="&amp;$C67)</f>
        <v>0</v>
      </c>
      <c r="P67" s="83">
        <f>SUMIFS(Dataset!$AA:$AA,Dataset!$F:$F,'retorno absoluto'!$D$11,Dataset!$AC:$AC,P$52,Dataset!$J:$J,"&lt;"&amp;$D67,Dataset!$J:$J,"&gt;="&amp;$C67)</f>
        <v>0</v>
      </c>
      <c r="Q67" s="83">
        <f>SUMIFS(Dataset!$AA:$AA,Dataset!$F:$F,'retorno absoluto'!$D$11,Dataset!$AC:$AC,Q$52,Dataset!$J:$J,"&lt;"&amp;$D67,Dataset!$J:$J,"&gt;="&amp;$C67)</f>
        <v>0</v>
      </c>
      <c r="R67" s="83">
        <f>SUMIFS(Dataset!$AA:$AA,Dataset!$F:$F,'retorno absoluto'!$D$11,Dataset!$AC:$AC,R$52,Dataset!$J:$J,"&lt;"&amp;$D67,Dataset!$J:$J,"&gt;="&amp;$C67)</f>
        <v>0</v>
      </c>
      <c r="S67" s="83">
        <f>SUMIFS(Dataset!$AA:$AA,Dataset!$F:$F,'retorno absoluto'!$D$11,Dataset!$AC:$AC,"A",Dataset!$J:$J,"&lt;"&amp;$D67,Dataset!$J:$J,"&gt;="&amp;$C67)+SUMIFS(Dataset!$AA:$AA,Dataset!$F:$F,'retorno absoluto'!$D$11,Dataset!$AC:$AC,"A-",Dataset!$J:$J,"&lt;"&amp;$D67,Dataset!$J:$J,"&gt;="&amp;$C67)+SUMIFS(Dataset!$AA:$AA,Dataset!$F:$F,'retorno absoluto'!$D$11,Dataset!$AC:$AC,"A+",Dataset!$J:$J,"&lt;"&amp;$D67,Dataset!$J:$J,"&gt;="&amp;$C67)</f>
        <v>0</v>
      </c>
      <c r="T67" s="83">
        <f>SUMIFS(Dataset!$AA:$AA,Dataset!$F:$F,'retorno absoluto'!$D$11,Dataset!$AC:$AC,"BBB-",Dataset!$J:$J,"&lt;"&amp;$D67,Dataset!$J:$J,"&gt;="&amp;$C67)+SUMIFS(Dataset!$AA:$AA,Dataset!$F:$F,'retorno absoluto'!$D$11,Dataset!$AC:$AC,"BBB",Dataset!$J:$J,"&lt;"&amp;$D67,Dataset!$J:$J,"&gt;="&amp;$C67)+SUMIFS(Dataset!$AA:$AA,Dataset!$F:$F,'retorno absoluto'!$D$11,Dataset!$AC:$AC,"BBB+",Dataset!$J:$J,"&lt;"&amp;$D67,Dataset!$J:$J,"&gt;="&amp;$C67)</f>
        <v>0</v>
      </c>
      <c r="U67" s="83">
        <f>SUMIFS(Dataset!$AA:$AA,Dataset!$F:$F,'retorno absoluto'!$D$11,Dataset!$J:$J,"&lt;"&amp;$D67,Dataset!$J:$J,"&gt;="&amp;$C67,Dataset!$AC:$AC,"&lt;&gt;N-1+",Dataset!$AC:$AC,"&lt;&gt;*AA*",Dataset!$AC:$AC,"&lt;&gt;*AAA*",Dataset!$AC:$AC,"&lt;&gt;A",Dataset!$AC:$AC,"&lt;&gt;A-",Dataset!$AC:$AC,"&lt;&gt;A+",Dataset!$AC:$AC,"&lt;&gt;*BBB*")</f>
        <v>0</v>
      </c>
      <c r="V67" s="84">
        <f t="shared" si="3"/>
        <v>0</v>
      </c>
      <c r="W67" s="85">
        <f>10*SUMIFS(Dataset!$H:$H,Dataset!$F:$F,'retorno absoluto'!$D$11,Dataset!$AC:$AC,W$52,Dataset!$J:$J,"&lt;"&amp;$D67,Dataset!J:J,"&gt;="&amp;$C67)</f>
        <v>0</v>
      </c>
      <c r="X67" s="86">
        <f>10*SUMIFS(Dataset!$H:$H,Dataset!$F:$F,'retorno absoluto'!$D$11,Dataset!$AC:$AC,X$52,Dataset!$J:$J,"&lt;"&amp;$D67,Dataset!J:J,"&gt;="&amp;$C67)</f>
        <v>0</v>
      </c>
      <c r="Y67" s="86">
        <f>10*SUMIFS(Dataset!$H:$H,Dataset!$F:$F,'retorno absoluto'!$D$11,Dataset!$AC:$AC,Y$52,Dataset!$J:$J,"&lt;"&amp;$D67,Dataset!J:J,"&gt;="&amp;$C67)</f>
        <v>0</v>
      </c>
      <c r="Z67" s="86">
        <f>10*SUMIFS(Dataset!$H:$H,Dataset!$F:$F,'retorno absoluto'!$D$11,Dataset!$AC:$AC,Z$52,Dataset!$J:$J,"&lt;"&amp;$D67,Dataset!J:J,"&gt;="&amp;$C67)</f>
        <v>0</v>
      </c>
      <c r="AA67" s="86">
        <f>10*SUMIFS(Dataset!$H:$H,Dataset!$F:$F,'retorno absoluto'!$D$11,Dataset!$AC:$AC,AA$52,Dataset!$J:$J,"&lt;"&amp;$D67,Dataset!J:J,"&gt;="&amp;$C67)</f>
        <v>0</v>
      </c>
      <c r="AB67" s="86">
        <f>10*SUMIFS(Dataset!$H:$H,Dataset!$F:$F,'retorno absoluto'!$D$11,Dataset!$AC:$AC,"A",Dataset!$J:$J,"&lt;"&amp;$D67,Dataset!$J:$J,"&gt;="&amp;$C67)+10*SUMIFS(Dataset!$H:$H,Dataset!$F:$F,'retorno absoluto'!$D$11,Dataset!$AC:$AC,"A-",Dataset!$J:$J,"&lt;"&amp;$D67,Dataset!$J:$J,"&gt;="&amp;$C67)+10*SUMIFS(Dataset!$H:$H,Dataset!$F:$F,'retorno absoluto'!$D$11,Dataset!$AC:$AC,"A+",Dataset!$J:$J,"&lt;"&amp;$D67,Dataset!$J:$J,"&gt;="&amp;$C67)</f>
        <v>0</v>
      </c>
      <c r="AC67" s="86">
        <f>10*SUMIFS(Dataset!$H:$H,Dataset!$F:$F,'retorno absoluto'!$D$11,Dataset!$AC:$AC,"BBB",Dataset!$J:$J,"&lt;"&amp;$D67,Dataset!$J:$J,"&gt;="&amp;$C67)+10*SUMIFS(Dataset!$H:$H,Dataset!$F:$F,'retorno absoluto'!$D$11,Dataset!$AC:$AC,"BBB-",Dataset!$J:$J,"&lt;"&amp;$D67,Dataset!$J:$J,"&gt;="&amp;$C67)+10*SUMIFS(Dataset!$H:$H,Dataset!$F:$F,'retorno absoluto'!$D$11,Dataset!$AC:$AC,"BBB+",Dataset!$J:$J,"&lt;"&amp;$D67,Dataset!$J:$J,"&gt;="&amp;$C67)</f>
        <v>0</v>
      </c>
      <c r="AD67" s="86">
        <f>10*SUMIFS(Dataset!$H:$H,Dataset!$F:$F,'retorno absoluto'!$D$11,Dataset!$J:$J,"&lt;"&amp;$D67,Dataset!$J:$J,"&gt;="&amp;$C67,Dataset!$AC:$AC,"&lt;&gt;N-1+",Dataset!$AC:$AC,"&lt;&gt;*AA*",Dataset!$AC:$AC,"&lt;&gt;*AAA*",Dataset!$AC:$AC,"&lt;&gt;A",Dataset!$AC:$AC,"&lt;&gt;A-",Dataset!$AC:$AC,"&lt;&gt;A+",Dataset!$AC:$AC,"&lt;&gt;*BBB*")</f>
        <v>0</v>
      </c>
      <c r="AE67" s="87">
        <f t="shared" si="4"/>
        <v>0</v>
      </c>
    </row>
    <row r="68" spans="2:40" ht="33" customHeight="1" x14ac:dyDescent="0.3">
      <c r="C68" s="61">
        <v>14.5</v>
      </c>
      <c r="D68" s="81">
        <v>100</v>
      </c>
      <c r="E68" s="88">
        <f>SUMIFS(Dataset!$AK:$AK,Dataset!$F:$F,'retorno absoluto'!$D$11,Dataset!$AC:$AC,E$52,Dataset!$J:$J,"&lt;"&amp;$D68,Dataset!J:J,"&gt;="&amp;$C68)</f>
        <v>0</v>
      </c>
      <c r="F68" s="89">
        <f>SUMIFS(Dataset!$AK:$AK,Dataset!$F:$F,'retorno absoluto'!$D$11,Dataset!$AC:$AC,F$52,Dataset!$J:$J,"&lt;"&amp;$D68,Dataset!J:J,"&gt;="&amp;$C68)</f>
        <v>0</v>
      </c>
      <c r="G68" s="89">
        <f>SUMIFS(Dataset!$AK:$AK,Dataset!$F:$F,'retorno absoluto'!$D$11,Dataset!$AC:$AC,G$52,Dataset!$J:$J,"&lt;"&amp;$D68,Dataset!J:J,"&gt;="&amp;$C68)</f>
        <v>0</v>
      </c>
      <c r="H68" s="89">
        <f>SUMIFS(Dataset!$AK:$AK,Dataset!$F:$F,'retorno absoluto'!$D$11,Dataset!$AC:$AC,H$52,Dataset!$J:$J,"&lt;"&amp;$D68,Dataset!J:J,"&gt;="&amp;$C68)</f>
        <v>0</v>
      </c>
      <c r="I68" s="89">
        <f>SUMIFS(Dataset!$AK:$AK,Dataset!$F:$F,'retorno absoluto'!$D$11,Dataset!$AC:$AC,I$52,Dataset!$J:$J,"&lt;"&amp;$D68,Dataset!J:J,"&gt;="&amp;$C68)</f>
        <v>0</v>
      </c>
      <c r="J68" s="89">
        <f>SUMIFS(Dataset!$AK:$AK,Dataset!$F:$F,'retorno absoluto'!$D$11,Dataset!$AC:$AC,"A",Dataset!$J:$J,"&lt;"&amp;$D68,Dataset!$J:$J,"&gt;="&amp;$C68)+SUMIFS(Dataset!$AK:$AK,Dataset!$F:$F,'retorno absoluto'!$D$11,Dataset!$AC:$AC,"A-",Dataset!$J:$J,"&lt;"&amp;$D68,Dataset!$J:$J,"&gt;="&amp;$C68)+SUMIFS(Dataset!$AK:$AK,Dataset!$F:$F,'retorno absoluto'!$D$11,Dataset!$AC:$AC,"A+",Dataset!$J:$J,"&lt;"&amp;$D68,Dataset!$J:$J,"&gt;="&amp;$C68)</f>
        <v>0</v>
      </c>
      <c r="K68" s="89">
        <f>SUMIFS(Dataset!$AK:$AK,Dataset!$F:$F,'retorno absoluto'!$D$11,Dataset!$AC:$AC,"BBB",Dataset!$J:$J,"&lt;"&amp;$D68,Dataset!$J:$J,"&gt;="&amp;$C68)+SUMIFS(Dataset!$AK:$AK,Dataset!$F:$F,'retorno absoluto'!$D$11,Dataset!$AC:$AC,"BBB-",Dataset!$J:$J,"&lt;"&amp;$D68,Dataset!$J:$J,"&gt;="&amp;$C68)+SUMIFS(Dataset!$AK:$AK,Dataset!$F:$F,'retorno absoluto'!$D$11,Dataset!$AC:$AC,"BBB+",Dataset!$J:$J,"&lt;"&amp;$D68,Dataset!$J:$J,"&gt;="&amp;$C68)</f>
        <v>0</v>
      </c>
      <c r="L68" s="89">
        <f>SUMIFS(Dataset!$AK:$AK,Dataset!$F:$F,'retorno absoluto'!$D$11,Dataset!$J:$J,"&lt;"&amp;$D68,Dataset!$J:$J,"&gt;="&amp;$C68,Dataset!$AC:$AC,"&lt;&gt;N-1+",Dataset!$AC:$AC,"&lt;&gt;*AA*",Dataset!$AC:$AC,"&lt;&gt;*AAA*",Dataset!$AC:$AC,"&lt;&gt;A",Dataset!$AC:$AC,"&lt;&gt;A-",Dataset!$AC:$AC,"&lt;&gt;A+",Dataset!$AC:$AC,"&lt;&gt;*BBB*")</f>
        <v>0</v>
      </c>
      <c r="M68" s="90">
        <f t="shared" si="2"/>
        <v>0</v>
      </c>
      <c r="N68" s="88">
        <f>SUMIFS(Dataset!$AA:$AA,Dataset!$F:$F,'retorno absoluto'!$D$11,Dataset!$AC:$AC,N$52,Dataset!$J:$J,"&lt;"&amp;$D68,Dataset!$J:$J,"&gt;="&amp;$C68)</f>
        <v>0</v>
      </c>
      <c r="O68" s="89">
        <f>SUMIFS(Dataset!$AA:$AA,Dataset!$F:$F,'retorno absoluto'!$D$11,Dataset!$AC:$AC,O$52,Dataset!$J:$J,"&lt;"&amp;$D68,Dataset!$J:$J,"&gt;="&amp;$C68)</f>
        <v>0</v>
      </c>
      <c r="P68" s="89">
        <f>SUMIFS(Dataset!$AA:$AA,Dataset!$F:$F,'retorno absoluto'!$D$11,Dataset!$AC:$AC,P$52,Dataset!$J:$J,"&lt;"&amp;$D68,Dataset!$J:$J,"&gt;="&amp;$C68)</f>
        <v>0</v>
      </c>
      <c r="Q68" s="89">
        <f>SUMIFS(Dataset!$AA:$AA,Dataset!$F:$F,'retorno absoluto'!$D$11,Dataset!$AC:$AC,Q$52,Dataset!$J:$J,"&lt;"&amp;$D68,Dataset!$J:$J,"&gt;="&amp;$C68)</f>
        <v>0</v>
      </c>
      <c r="R68" s="89">
        <f>SUMIFS(Dataset!$AA:$AA,Dataset!$F:$F,'retorno absoluto'!$D$11,Dataset!$AC:$AC,R$52,Dataset!$J:$J,"&lt;"&amp;$D68,Dataset!$J:$J,"&gt;="&amp;$C68)</f>
        <v>0</v>
      </c>
      <c r="S68" s="89">
        <f>SUMIFS(Dataset!$AA:$AA,Dataset!$F:$F,'retorno absoluto'!$D$11,Dataset!$AC:$AC,"A",Dataset!$J:$J,"&lt;"&amp;$D68,Dataset!$J:$J,"&gt;="&amp;$C68)+SUMIFS(Dataset!$AA:$AA,Dataset!$F:$F,'retorno absoluto'!$D$11,Dataset!$AC:$AC,"A-",Dataset!$J:$J,"&lt;"&amp;$D68,Dataset!$J:$J,"&gt;="&amp;$C68)+SUMIFS(Dataset!$AA:$AA,Dataset!$F:$F,'retorno absoluto'!$D$11,Dataset!$AC:$AC,"A+",Dataset!$J:$J,"&lt;"&amp;$D68,Dataset!$J:$J,"&gt;="&amp;$C68)</f>
        <v>0</v>
      </c>
      <c r="T68" s="89">
        <f>SUMIFS(Dataset!$AA:$AA,Dataset!$F:$F,'retorno absoluto'!$D$11,Dataset!$AC:$AC,"BBB-",Dataset!$J:$J,"&lt;"&amp;$D68,Dataset!$J:$J,"&gt;="&amp;$C68)+SUMIFS(Dataset!$AA:$AA,Dataset!$F:$F,'retorno absoluto'!$D$11,Dataset!$AC:$AC,"BBB",Dataset!$J:$J,"&lt;"&amp;$D68,Dataset!$J:$J,"&gt;="&amp;$C68)+SUMIFS(Dataset!$AA:$AA,Dataset!$F:$F,'retorno absoluto'!$D$11,Dataset!$AC:$AC,"BBB+",Dataset!$J:$J,"&lt;"&amp;$D68,Dataset!$J:$J,"&gt;="&amp;$C68)</f>
        <v>0</v>
      </c>
      <c r="U68" s="89">
        <f>SUMIFS(Dataset!$AA:$AA,Dataset!$F:$F,'retorno absoluto'!$D$11,Dataset!$J:$J,"&lt;"&amp;$D68,Dataset!$J:$J,"&gt;="&amp;$C68,Dataset!$AC:$AC,"&lt;&gt;N-1+",Dataset!$AC:$AC,"&lt;&gt;*AA*",Dataset!$AC:$AC,"&lt;&gt;*AAA*",Dataset!$AC:$AC,"&lt;&gt;A",Dataset!$AC:$AC,"&lt;&gt;A-",Dataset!$AC:$AC,"&lt;&gt;A+",Dataset!$AC:$AC,"&lt;&gt;*BBB*")</f>
        <v>0</v>
      </c>
      <c r="V68" s="90">
        <f t="shared" si="3"/>
        <v>0</v>
      </c>
      <c r="W68" s="91">
        <f>10*SUMIFS(Dataset!$H:$H,Dataset!$F:$F,'retorno absoluto'!$D$11,Dataset!$AC:$AC,W$52,Dataset!$J:$J,"&lt;"&amp;$D68,Dataset!J:J,"&gt;="&amp;$C68)</f>
        <v>0</v>
      </c>
      <c r="X68" s="92">
        <f>10*SUMIFS(Dataset!$H:$H,Dataset!$F:$F,'retorno absoluto'!$D$11,Dataset!$AC:$AC,X$52,Dataset!$J:$J,"&lt;"&amp;$D68,Dataset!J:J,"&gt;="&amp;$C68)</f>
        <v>0</v>
      </c>
      <c r="Y68" s="92">
        <f>10*SUMIFS(Dataset!$H:$H,Dataset!$F:$F,'retorno absoluto'!$D$11,Dataset!$AC:$AC,Y$52,Dataset!$J:$J,"&lt;"&amp;$D68,Dataset!J:J,"&gt;="&amp;$C68)</f>
        <v>0</v>
      </c>
      <c r="Z68" s="92">
        <f>10*SUMIFS(Dataset!$H:$H,Dataset!$F:$F,'retorno absoluto'!$D$11,Dataset!$AC:$AC,Z$52,Dataset!$J:$J,"&lt;"&amp;$D68,Dataset!J:J,"&gt;="&amp;$C68)</f>
        <v>0</v>
      </c>
      <c r="AA68" s="92">
        <f>10*SUMIFS(Dataset!$H:$H,Dataset!$F:$F,'retorno absoluto'!$D$11,Dataset!$AC:$AC,AA$52,Dataset!$J:$J,"&lt;"&amp;$D68,Dataset!J:J,"&gt;="&amp;$C68)</f>
        <v>0</v>
      </c>
      <c r="AB68" s="92">
        <f>10*SUMIFS(Dataset!$H:$H,Dataset!$F:$F,'retorno absoluto'!$D$11,Dataset!$AC:$AC,"A",Dataset!$J:$J,"&lt;"&amp;$D68,Dataset!$J:$J,"&gt;="&amp;$C68)+10*SUMIFS(Dataset!$H:$H,Dataset!$F:$F,'retorno absoluto'!$D$11,Dataset!$AC:$AC,"A-",Dataset!$J:$J,"&lt;"&amp;$D68,Dataset!$J:$J,"&gt;="&amp;$C68)+10*SUMIFS(Dataset!$H:$H,Dataset!$F:$F,'retorno absoluto'!$D$11,Dataset!$AC:$AC,"A+",Dataset!$J:$J,"&lt;"&amp;$D68,Dataset!$J:$J,"&gt;="&amp;$C68)</f>
        <v>0</v>
      </c>
      <c r="AC68" s="92">
        <f>10*SUMIFS(Dataset!$H:$H,Dataset!$F:$F,'retorno absoluto'!$D$11,Dataset!$AC:$AC,"BBB",Dataset!$J:$J,"&lt;"&amp;$D68,Dataset!$J:$J,"&gt;="&amp;$C68)+10*SUMIFS(Dataset!$H:$H,Dataset!$F:$F,'retorno absoluto'!$D$11,Dataset!$AC:$AC,"BBB-",Dataset!$J:$J,"&lt;"&amp;$D68,Dataset!$J:$J,"&gt;="&amp;$C68)+10*SUMIFS(Dataset!$H:$H,Dataset!$F:$F,'retorno absoluto'!$D$11,Dataset!$AC:$AC,"BBB+",Dataset!$J:$J,"&lt;"&amp;$D68,Dataset!$J:$J,"&gt;="&amp;$C68)</f>
        <v>0</v>
      </c>
      <c r="AD68" s="92">
        <f>10*SUMIFS(Dataset!$H:$H,Dataset!$F:$F,'retorno absoluto'!$D$11,Dataset!$J:$J,"&lt;"&amp;$D68,Dataset!$J:$J,"&gt;="&amp;$C68,Dataset!$AC:$AC,"&lt;&gt;N-1+",Dataset!$AC:$AC,"&lt;&gt;*AA*",Dataset!$AC:$AC,"&lt;&gt;*AAA*",Dataset!$AC:$AC,"&lt;&gt;A",Dataset!$AC:$AC,"&lt;&gt;A-",Dataset!$AC:$AC,"&lt;&gt;A+",Dataset!$AC:$AC,"&lt;&gt;*BBB*")</f>
        <v>0</v>
      </c>
      <c r="AE68" s="93">
        <f t="shared" si="4"/>
        <v>0</v>
      </c>
    </row>
    <row r="69" spans="2:40" ht="33" customHeight="1" x14ac:dyDescent="0.3">
      <c r="C69" s="179"/>
      <c r="D69" s="180"/>
      <c r="E69" s="83">
        <f t="shared" ref="E69:L69" si="5">SUM(E53:E68)</f>
        <v>0</v>
      </c>
      <c r="F69" s="83">
        <f t="shared" si="5"/>
        <v>0</v>
      </c>
      <c r="G69" s="83">
        <f t="shared" si="5"/>
        <v>0</v>
      </c>
      <c r="H69" s="83">
        <f t="shared" si="5"/>
        <v>0</v>
      </c>
      <c r="I69" s="83">
        <f t="shared" si="5"/>
        <v>0</v>
      </c>
      <c r="J69" s="83">
        <f t="shared" si="5"/>
        <v>0</v>
      </c>
      <c r="K69" s="83">
        <f t="shared" si="5"/>
        <v>0</v>
      </c>
      <c r="L69" s="83">
        <f t="shared" si="5"/>
        <v>0</v>
      </c>
      <c r="M69" s="84">
        <f t="shared" si="2"/>
        <v>0</v>
      </c>
      <c r="N69" s="83">
        <f>SUM(N53:N68)</f>
        <v>0</v>
      </c>
      <c r="O69" s="83">
        <f t="shared" ref="O69:U69" si="6">SUM(O53:O68)</f>
        <v>0</v>
      </c>
      <c r="P69" s="83">
        <f t="shared" si="6"/>
        <v>0</v>
      </c>
      <c r="Q69" s="83">
        <f t="shared" si="6"/>
        <v>0</v>
      </c>
      <c r="R69" s="83">
        <f t="shared" si="6"/>
        <v>0</v>
      </c>
      <c r="S69" s="83">
        <f t="shared" si="6"/>
        <v>0</v>
      </c>
      <c r="T69" s="83">
        <f t="shared" si="6"/>
        <v>0</v>
      </c>
      <c r="U69" s="83">
        <f t="shared" si="6"/>
        <v>0</v>
      </c>
      <c r="V69" s="84">
        <f>SUM(N69:U69)</f>
        <v>0</v>
      </c>
      <c r="W69" s="86">
        <f>SUM(W53:W68)</f>
        <v>0</v>
      </c>
      <c r="X69" s="86">
        <f t="shared" ref="X69:AD69" si="7">SUM(X53:X68)</f>
        <v>0</v>
      </c>
      <c r="Y69" s="86">
        <f t="shared" si="7"/>
        <v>0</v>
      </c>
      <c r="Z69" s="86">
        <f t="shared" si="7"/>
        <v>0</v>
      </c>
      <c r="AA69" s="86">
        <f t="shared" si="7"/>
        <v>0</v>
      </c>
      <c r="AB69" s="86">
        <f t="shared" si="7"/>
        <v>0</v>
      </c>
      <c r="AC69" s="86">
        <f t="shared" si="7"/>
        <v>0</v>
      </c>
      <c r="AD69" s="86">
        <f t="shared" si="7"/>
        <v>0</v>
      </c>
      <c r="AE69" s="87">
        <f t="shared" si="4"/>
        <v>0</v>
      </c>
    </row>
    <row r="71" spans="2:40" ht="57" customHeight="1" x14ac:dyDescent="0.3">
      <c r="E71" s="176" t="s">
        <v>228</v>
      </c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50"/>
      <c r="Q71" s="176" t="s">
        <v>229</v>
      </c>
      <c r="R71" s="176"/>
      <c r="S71" s="176"/>
      <c r="T71" s="176"/>
      <c r="U71" s="176"/>
      <c r="V71" s="176"/>
      <c r="W71" s="176"/>
      <c r="X71" s="176"/>
      <c r="Y71" s="176"/>
      <c r="Z71" s="176"/>
      <c r="AA71" s="176"/>
      <c r="AB71" s="50"/>
      <c r="AC71" s="176" t="s">
        <v>232</v>
      </c>
      <c r="AD71" s="176"/>
      <c r="AE71" s="176"/>
      <c r="AF71" s="176"/>
      <c r="AG71" s="176"/>
      <c r="AH71" s="176"/>
      <c r="AI71" s="176"/>
      <c r="AJ71" s="176"/>
      <c r="AK71" s="176"/>
      <c r="AL71" s="176"/>
      <c r="AM71" s="176"/>
      <c r="AN71" s="50"/>
    </row>
    <row r="72" spans="2:40" ht="27" customHeight="1" x14ac:dyDescent="0.3">
      <c r="O72" s="69"/>
      <c r="P72" s="69"/>
      <c r="Q72" s="69"/>
      <c r="R72" s="69"/>
      <c r="S72" s="69"/>
      <c r="T72" s="69"/>
      <c r="U72" s="69"/>
      <c r="V72" s="69"/>
      <c r="Y72" s="69"/>
      <c r="Z72" s="69"/>
      <c r="AA72" s="69"/>
      <c r="AB72" s="69"/>
      <c r="AC72" s="69"/>
      <c r="AD72" s="69"/>
      <c r="AE72" s="69"/>
      <c r="AF72" s="69"/>
    </row>
    <row r="73" spans="2:40" ht="33" customHeight="1" x14ac:dyDescent="0.3">
      <c r="C73" s="177" t="s">
        <v>68</v>
      </c>
      <c r="D73" s="177"/>
      <c r="E73" s="94" t="s">
        <v>72</v>
      </c>
      <c r="F73" s="94" t="s">
        <v>73</v>
      </c>
      <c r="G73" s="94" t="s">
        <v>74</v>
      </c>
      <c r="H73" s="94" t="s">
        <v>75</v>
      </c>
      <c r="I73" s="94" t="s">
        <v>90</v>
      </c>
      <c r="J73" s="94" t="s">
        <v>159</v>
      </c>
      <c r="K73" s="94" t="s">
        <v>165</v>
      </c>
      <c r="L73" s="94" t="s">
        <v>207</v>
      </c>
      <c r="M73" s="94" t="s">
        <v>76</v>
      </c>
      <c r="N73" s="94" t="s">
        <v>77</v>
      </c>
      <c r="O73" s="94" t="s">
        <v>79</v>
      </c>
      <c r="P73" s="94"/>
      <c r="Q73" s="94" t="s">
        <v>72</v>
      </c>
      <c r="R73" s="94" t="s">
        <v>73</v>
      </c>
      <c r="S73" s="94" t="s">
        <v>74</v>
      </c>
      <c r="T73" s="94" t="s">
        <v>75</v>
      </c>
      <c r="U73" s="94" t="s">
        <v>90</v>
      </c>
      <c r="V73" s="94" t="s">
        <v>162</v>
      </c>
      <c r="W73" s="94" t="s">
        <v>165</v>
      </c>
      <c r="X73" s="94" t="s">
        <v>207</v>
      </c>
      <c r="Y73" s="94" t="s">
        <v>76</v>
      </c>
      <c r="Z73" s="94" t="s">
        <v>77</v>
      </c>
      <c r="AA73" s="94" t="s">
        <v>79</v>
      </c>
      <c r="AB73" s="94"/>
      <c r="AC73" s="94" t="s">
        <v>72</v>
      </c>
      <c r="AD73" s="94" t="s">
        <v>73</v>
      </c>
      <c r="AE73" s="94" t="s">
        <v>74</v>
      </c>
      <c r="AF73" s="94" t="s">
        <v>75</v>
      </c>
      <c r="AG73" s="94" t="s">
        <v>90</v>
      </c>
      <c r="AH73" s="94" t="s">
        <v>159</v>
      </c>
      <c r="AI73" s="94" t="s">
        <v>165</v>
      </c>
      <c r="AJ73" s="94" t="s">
        <v>207</v>
      </c>
      <c r="AK73" s="94" t="s">
        <v>76</v>
      </c>
      <c r="AL73" s="94" t="s">
        <v>77</v>
      </c>
      <c r="AM73" s="94" t="s">
        <v>79</v>
      </c>
      <c r="AN73" s="94"/>
    </row>
    <row r="74" spans="2:40" ht="33" customHeight="1" x14ac:dyDescent="0.3">
      <c r="C74" s="72">
        <v>0</v>
      </c>
      <c r="D74" s="73">
        <v>0.5</v>
      </c>
      <c r="E74" s="74">
        <f>SUMIFS(Dataset!AK:AK,Dataset!F:F,'retorno absoluto'!$D$11,Dataset!AH:AH,"deposito",Dataset!T:T,"$",Dataset!J:J,"&lt;"&amp;$D74,Dataset!J:J,"&gt;="&amp;$C74)</f>
        <v>0</v>
      </c>
      <c r="F74" s="75">
        <f>SUMIFS(Dataset!AK:AK,Dataset!F:F,'retorno absoluto'!$D$11,Dataset!AH:AH,"deposito",Dataset!T:T,"UF",Dataset!J:J,"&lt;"&amp;$D74,Dataset!J:J,"&gt;="&amp;$C74)</f>
        <v>0</v>
      </c>
      <c r="G74" s="75">
        <f>SUMIFS(Dataset!AK:AK,Dataset!F:F,'retorno absoluto'!$D$11,Dataset!AH:AH,"bono de gobierno",Dataset!T:T,"$",Dataset!J:J,"&lt;"&amp;$D74,Dataset!J:J,"&gt;="&amp;$C74)</f>
        <v>0</v>
      </c>
      <c r="H74" s="75">
        <f>SUMIFS(Dataset!AK:AK,Dataset!F:F,'retorno absoluto'!$D$11,Dataset!AH:AH,"bono de gobierno",Dataset!T:T,"UF",Dataset!J:J,"&lt;"&amp;$D74,Dataset!J:J,"&gt;="&amp;$C74)</f>
        <v>0</v>
      </c>
      <c r="I74" s="75">
        <f>SUMIFS(Dataset!AK:AK,Dataset!F:F,'retorno absoluto'!$D$11,Dataset!AH:AH,"bono de gobierno",Dataset!T:T,"eu",Dataset!J:J,"&lt;"&amp;$D74,Dataset!J:J,"&gt;="&amp;$C74)</f>
        <v>0</v>
      </c>
      <c r="J74" s="75">
        <f>SUMIFS(Dataset!AK:AK,Dataset!F:F,'retorno absoluto'!$D$11,Dataset!AH:AH,"bono de gobierno",Dataset!T:T,"mx",Dataset!J:J,"&lt;"&amp;$D74,Dataset!J:J,"&gt;="&amp;$C74)</f>
        <v>0</v>
      </c>
      <c r="K74" s="75">
        <f>SUMIFS(Dataset!AK:AK,Dataset!F:F,'retorno absoluto'!$D$11,Dataset!AH:AH,"bono de gobierno",Dataset!T:T,"rea",Dataset!J:J,"&lt;"&amp;$D74,Dataset!J:J,"&gt;="&amp;$C74)</f>
        <v>0</v>
      </c>
      <c r="L74" s="75">
        <f>SUMIFS(Dataset!AK:AK,Dataset!F:F,'retorno absoluto'!$D$11,Dataset!AH:AH,"bono de gobierno",Dataset!T:T,"sol",Dataset!J:J,"&lt;"&amp;$D74,Dataset!J:J,"&gt;="&amp;$C74)</f>
        <v>0</v>
      </c>
      <c r="M74" s="75">
        <f>SUMIFS(Dataset!AK:AK,Dataset!F:F,'retorno absoluto'!$D$11,Dataset!AH:AH,"bono corporativo",Dataset!T:T,"$",Dataset!J:J,"&lt;"&amp;$D74,Dataset!J:J,"&gt;="&amp;$C74)</f>
        <v>0</v>
      </c>
      <c r="N74" s="75">
        <f>SUMIFS(Dataset!AK:AK,Dataset!F:F,'retorno absoluto'!$D$11,Dataset!AH:AH,"bono corporativo",Dataset!T:T,"UF",Dataset!J:J,"&lt;"&amp;$D74,Dataset!J:J,"&gt;="&amp;$C74)</f>
        <v>0</v>
      </c>
      <c r="O74" s="75">
        <f>SUMIFS(Dataset!AK:AK,Dataset!F:F,'retorno absoluto'!$D$11,Dataset!J:J,"&lt;"&amp;$D74,Dataset!J:J,"&gt;="&amp;$C74,Dataset!AH:AH,"&lt;&gt;bono corporativo",Dataset!AH:AH,"&lt;&gt;bono de gobierno",Dataset!AH:AH,"&lt;&gt;deposito")</f>
        <v>0</v>
      </c>
      <c r="P74" s="84">
        <f t="shared" ref="P74:P90" si="8">SUM(E74:O74)</f>
        <v>0</v>
      </c>
      <c r="Q74" s="74">
        <f>SUMIFS(Dataset!AA:AA,Dataset!F:F,'retorno absoluto'!$D$11,Dataset!AH:AH,"deposito",Dataset!T:T,"$",Dataset!J:J,"&lt;"&amp;$D74,Dataset!J:J,"&gt;="&amp;$C74)</f>
        <v>0</v>
      </c>
      <c r="R74" s="75">
        <f>SUMIFS(Dataset!AA:AA,Dataset!F:F,'retorno absoluto'!$D$11,Dataset!AH:AH,"deposito",Dataset!T:T,"UF",Dataset!J:J,"&lt;"&amp;$D74,Dataset!J:J,"&gt;="&amp;$C74)</f>
        <v>0</v>
      </c>
      <c r="S74" s="75">
        <f>SUMIFS(Dataset!AA:AA,Dataset!F:F,'retorno absoluto'!$D$11,Dataset!AH:AH,"bono de gobierno",Dataset!T:T,"$",Dataset!J:J,"&lt;"&amp;$D74,Dataset!J:J,"&gt;="&amp;$C74)</f>
        <v>0</v>
      </c>
      <c r="T74" s="75">
        <f>SUMIFS(Dataset!AA:AA,Dataset!F:F,'retorno absoluto'!$D$11,Dataset!AH:AH,"bono de gobierno",Dataset!T:T,"UF",Dataset!J:J,"&lt;"&amp;$D74,Dataset!J:J,"&gt;="&amp;$C74)</f>
        <v>0</v>
      </c>
      <c r="U74" s="75">
        <f>SUMIFS(Dataset!AA:AA,Dataset!F:F,'retorno absoluto'!$D$11,Dataset!AH:AH,"bono de gobierno",Dataset!T:T,"EU",Dataset!J:J,"&lt;"&amp;$D74,Dataset!J:J,"&gt;="&amp;$C74)</f>
        <v>0</v>
      </c>
      <c r="V74" s="75">
        <f>SUMIFS(Dataset!AA:AA,Dataset!F:F,'retorno absoluto'!$D$11,Dataset!AH:AH,"bono de gobierno",Dataset!T:T,"MX",Dataset!J:J,"&lt;"&amp;$D74,Dataset!J:J,"&gt;="&amp;$C74)</f>
        <v>0</v>
      </c>
      <c r="W74" s="75">
        <f>SUMIFS(Dataset!AA:AA,Dataset!F:F,'retorno absoluto'!$D$11,Dataset!AH:AH,"bono de gobierno",Dataset!T:T,"REA",Dataset!J:J,"&lt;"&amp;$D74,Dataset!J:J,"&gt;="&amp;$C74)</f>
        <v>0</v>
      </c>
      <c r="X74" s="75">
        <f>SUMIFS(Dataset!AA:AA,Dataset!F:F,'retorno absoluto'!$D$11,Dataset!AH:AH,"bono de gobierno",Dataset!T:T,"sol",Dataset!J:J,"&lt;"&amp;$D74,Dataset!J:J,"&gt;="&amp;$C74)</f>
        <v>0</v>
      </c>
      <c r="Y74" s="75">
        <f>SUMIFS(Dataset!AA:AA,Dataset!F:F,'retorno absoluto'!$D$11,Dataset!AH:AH,"bono corporativo",Dataset!T:T,"$",Dataset!J:J,"&lt;"&amp;$D74,Dataset!J:J,"&gt;="&amp;$C74)</f>
        <v>0</v>
      </c>
      <c r="Z74" s="75">
        <f>SUMIFS(Dataset!AA:AA,Dataset!F:F,'retorno absoluto'!$D$11,Dataset!AH:AH,"bono corporativo",Dataset!T:T,"UF",Dataset!J:J,"&lt;"&amp;$D74,Dataset!J:J,"&gt;="&amp;$C74)</f>
        <v>0</v>
      </c>
      <c r="AA74" s="75">
        <f>SUMIFS(Dataset!AA:AA,Dataset!F:F,'retorno absoluto'!$D$11,Dataset!J:J,"&lt;"&amp;$D74,Dataset!J:J,"&gt;="&amp;$C74,Dataset!AH:AH,"&lt;&gt;bono corporativo",Dataset!AH:AH,"&lt;&gt;bono de gobierno",Dataset!AH:AH,"&lt;&gt;deposito")</f>
        <v>0</v>
      </c>
      <c r="AB74" s="84">
        <f t="shared" ref="AB74:AB90" si="9">SUM(Q74:AA74)</f>
        <v>0</v>
      </c>
      <c r="AC74" s="77">
        <f>SUMIFS(Dataset!H:H,Dataset!F:F,'retorno absoluto'!$D$11,Dataset!AH:AH,"deposito",Dataset!T:T,"$",Dataset!J:J,"&lt;"&amp;$D74,Dataset!J:J,"&gt;="&amp;$C74)*10</f>
        <v>0</v>
      </c>
      <c r="AD74" s="78">
        <f>SUMIFS(Dataset!H:H,Dataset!F:F,'retorno absoluto'!$D$11,Dataset!AH:AH,"deposito",Dataset!T:T,"UF",Dataset!J:J,"&lt;"&amp;$D74,Dataset!J:J,"&gt;="&amp;$C74)*10</f>
        <v>0</v>
      </c>
      <c r="AE74" s="78">
        <f>SUMIFS(Dataset!H:H,Dataset!F:F,'retorno absoluto'!$D$11,Dataset!AH:AH,"bono de gobierno",Dataset!T:T,"$",Dataset!J:J,"&lt;"&amp;$D74,Dataset!J:J,"&gt;="&amp;$C74)*10</f>
        <v>0</v>
      </c>
      <c r="AF74" s="78">
        <f>SUMIFS(Dataset!H:H,Dataset!F:F,'retorno absoluto'!$D$11,Dataset!AH:AH,"bono de gobierno",Dataset!T:T,"UF",Dataset!J:J,"&lt;"&amp;$D74,Dataset!J:J,"&gt;="&amp;$C74)*10</f>
        <v>0</v>
      </c>
      <c r="AG74" s="78">
        <f>SUMIFS(Dataset!H:H,Dataset!F:F,'retorno absoluto'!$D$11,Dataset!AH:AH,"bono de gobierno",Dataset!T:T,"EU",Dataset!J:J,"&lt;"&amp;$D74,Dataset!J:J,"&gt;="&amp;$C74)*10</f>
        <v>0</v>
      </c>
      <c r="AH74" s="78">
        <f>SUMIFS(Dataset!H:H,Dataset!F:F,'retorno absoluto'!$D$11,Dataset!AH:AH,"bono de gobierno",Dataset!T:T,"MX",Dataset!J:J,"&lt;"&amp;$D74,Dataset!J:J,"&gt;="&amp;$C74)*10</f>
        <v>0</v>
      </c>
      <c r="AI74" s="78">
        <f>SUMIFS(Dataset!H:H,Dataset!F:F,'retorno absoluto'!$D$11,Dataset!AH:AH,"bono de gobierno",Dataset!T:T,"REA",Dataset!J:J,"&lt;"&amp;$D74,Dataset!J:J,"&gt;="&amp;$C74)*10</f>
        <v>0</v>
      </c>
      <c r="AJ74" s="78">
        <f>SUMIFS(Dataset!H:H,Dataset!F:F,'retorno absoluto'!$D$11,Dataset!AH:AH,"bono de gobierno",Dataset!T:T,"sol",Dataset!J:J,"&lt;"&amp;$D74,Dataset!J:J,"&gt;="&amp;$C74)*10</f>
        <v>0</v>
      </c>
      <c r="AK74" s="78">
        <f>SUMIFS(Dataset!H:H,Dataset!F:F,'retorno absoluto'!$D$11,Dataset!AH:AH,"bono corporativo",Dataset!T:T,"$",Dataset!J:J,"&lt;"&amp;$D74,Dataset!J:J,"&gt;="&amp;$C74)*10</f>
        <v>0</v>
      </c>
      <c r="AL74" s="78">
        <f>SUMIFS(Dataset!H:H,Dataset!F:F,'retorno absoluto'!$D$11,Dataset!AH:AH,"bono corporativo",Dataset!T:T,"UF",Dataset!J:J,"&lt;"&amp;$D74,Dataset!J:J,"&gt;="&amp;$C74)*10</f>
        <v>0</v>
      </c>
      <c r="AM74" s="78">
        <f>SUMIFS(Dataset!H:H,Dataset!F:F,'retorno absoluto'!$D$11,Dataset!J:J,"&lt;"&amp;$D74,Dataset!J:J,"&gt;="&amp;$C74,Dataset!AH:AH,"&lt;&gt;bono corporativo",Dataset!AH:AH,"&lt;&gt;bono de gobierno",Dataset!AH:AH,"&lt;&gt;deposito")*10</f>
        <v>0</v>
      </c>
      <c r="AN74" s="87">
        <f t="shared" ref="AN74:AN90" si="10">SUM(AC74:AM74)</f>
        <v>0</v>
      </c>
    </row>
    <row r="75" spans="2:40" ht="33" customHeight="1" x14ac:dyDescent="0.3">
      <c r="C75" s="61">
        <v>0.5</v>
      </c>
      <c r="D75" s="81">
        <v>1.5</v>
      </c>
      <c r="E75" s="82">
        <f>SUMIFS(Dataset!AK:AK,Dataset!F:F,'retorno absoluto'!$D$11,Dataset!AH:AH,"deposito",Dataset!T:T,"$",Dataset!J:J,"&lt;"&amp;$D75,Dataset!J:J,"&gt;="&amp;$C75)</f>
        <v>0</v>
      </c>
      <c r="F75" s="83">
        <f>SUMIFS(Dataset!AK:AK,Dataset!F:F,'retorno absoluto'!$D$11,Dataset!AH:AH,"deposito",Dataset!T:T,"UF",Dataset!J:J,"&lt;"&amp;$D75,Dataset!J:J,"&gt;="&amp;$C75)</f>
        <v>0</v>
      </c>
      <c r="G75" s="83">
        <f>SUMIFS(Dataset!AK:AK,Dataset!F:F,'retorno absoluto'!$D$11,Dataset!AH:AH,"bono de gobierno",Dataset!T:T,"$",Dataset!J:J,"&lt;"&amp;$D75,Dataset!J:J,"&gt;="&amp;$C75)</f>
        <v>0</v>
      </c>
      <c r="H75" s="83">
        <f>SUMIFS(Dataset!AK:AK,Dataset!F:F,'retorno absoluto'!$D$11,Dataset!AH:AH,"bono de gobierno",Dataset!T:T,"UF",Dataset!J:J,"&lt;"&amp;$D75,Dataset!J:J,"&gt;="&amp;$C75)</f>
        <v>0</v>
      </c>
      <c r="I75" s="83">
        <f>SUMIFS(Dataset!AK:AK,Dataset!F:F,'retorno absoluto'!$D$11,Dataset!AH:AH,"bono de gobierno",Dataset!T:T,"eu",Dataset!J:J,"&lt;"&amp;$D75,Dataset!J:J,"&gt;="&amp;$C75)</f>
        <v>0</v>
      </c>
      <c r="J75" s="83">
        <f>SUMIFS(Dataset!AK:AK,Dataset!F:F,'retorno absoluto'!$D$11,Dataset!AH:AH,"bono de gobierno",Dataset!T:T,"mx",Dataset!J:J,"&lt;"&amp;$D75,Dataset!J:J,"&gt;="&amp;$C75)</f>
        <v>0</v>
      </c>
      <c r="K75" s="83">
        <f>SUMIFS(Dataset!AK:AK,Dataset!F:F,'retorno absoluto'!$D$11,Dataset!AH:AH,"bono de gobierno",Dataset!T:T,"rea",Dataset!J:J,"&lt;"&amp;$D75,Dataset!J:J,"&gt;="&amp;$C75)</f>
        <v>0</v>
      </c>
      <c r="L75" s="83">
        <f>SUMIFS(Dataset!AK:AK,Dataset!F:F,'retorno absoluto'!$D$11,Dataset!AH:AH,"bono de gobierno",Dataset!T:T,"sol",Dataset!J:J,"&lt;"&amp;$D75,Dataset!J:J,"&gt;="&amp;$C75)</f>
        <v>0</v>
      </c>
      <c r="M75" s="83">
        <f>SUMIFS(Dataset!AK:AK,Dataset!F:F,'retorno absoluto'!$D$11,Dataset!AH:AH,"bono corporativo",Dataset!T:T,"$",Dataset!J:J,"&lt;"&amp;$D75,Dataset!J:J,"&gt;="&amp;$C75)</f>
        <v>0</v>
      </c>
      <c r="N75" s="83">
        <f>SUMIFS(Dataset!AK:AK,Dataset!F:F,'retorno absoluto'!$D$11,Dataset!AH:AH,"bono corporativo",Dataset!T:T,"UF",Dataset!J:J,"&lt;"&amp;$D75,Dataset!J:J,"&gt;="&amp;$C75)</f>
        <v>0</v>
      </c>
      <c r="O75" s="83">
        <f>SUMIFS(Dataset!AK:AK,Dataset!F:F,'retorno absoluto'!$D$11,Dataset!J:J,"&lt;"&amp;$D75,Dataset!J:J,"&gt;="&amp;$C75,Dataset!AH:AH,"&lt;&gt;bono corporativo",Dataset!AH:AH,"&lt;&gt;bono de gobierno",Dataset!AH:AH,"&lt;&gt;deposito")</f>
        <v>0</v>
      </c>
      <c r="P75" s="84">
        <f t="shared" si="8"/>
        <v>0</v>
      </c>
      <c r="Q75" s="82">
        <f>SUMIFS(Dataset!AA:AA,Dataset!F:F,'retorno absoluto'!$D$11,Dataset!AH:AH,"deposito",Dataset!T:T,"$",Dataset!J:J,"&lt;"&amp;$D75,Dataset!J:J,"&gt;="&amp;$C75)</f>
        <v>0</v>
      </c>
      <c r="R75" s="83">
        <f>SUMIFS(Dataset!AA:AA,Dataset!F:F,'retorno absoluto'!$D$11,Dataset!AH:AH,"deposito",Dataset!T:T,"UF",Dataset!J:J,"&lt;"&amp;$D75,Dataset!J:J,"&gt;="&amp;$C75)</f>
        <v>0</v>
      </c>
      <c r="S75" s="83">
        <f>SUMIFS(Dataset!AA:AA,Dataset!F:F,'retorno absoluto'!$D$11,Dataset!AH:AH,"bono de gobierno",Dataset!T:T,"$",Dataset!J:J,"&lt;"&amp;$D75,Dataset!J:J,"&gt;="&amp;$C75)</f>
        <v>0</v>
      </c>
      <c r="T75" s="83">
        <f>SUMIFS(Dataset!AA:AA,Dataset!F:F,'retorno absoluto'!$D$11,Dataset!AH:AH,"bono de gobierno",Dataset!T:T,"UF",Dataset!J:J,"&lt;"&amp;$D75,Dataset!J:J,"&gt;="&amp;$C75)</f>
        <v>0</v>
      </c>
      <c r="U75" s="83">
        <f>SUMIFS(Dataset!AA:AA,Dataset!F:F,'retorno absoluto'!$D$11,Dataset!AH:AH,"bono de gobierno",Dataset!T:T,"EU",Dataset!J:J,"&lt;"&amp;$D75,Dataset!J:J,"&gt;="&amp;$C75)</f>
        <v>0</v>
      </c>
      <c r="V75" s="83">
        <f>SUMIFS(Dataset!AA:AA,Dataset!F:F,'retorno absoluto'!$D$11,Dataset!AH:AH,"bono de gobierno",Dataset!T:T,"MX",Dataset!J:J,"&lt;"&amp;$D75,Dataset!J:J,"&gt;="&amp;$C75)</f>
        <v>0</v>
      </c>
      <c r="W75" s="83">
        <f>SUMIFS(Dataset!AA:AA,Dataset!F:F,'retorno absoluto'!$D$11,Dataset!AH:AH,"bono de gobierno",Dataset!T:T,"REA",Dataset!J:J,"&lt;"&amp;$D75,Dataset!J:J,"&gt;="&amp;$C75)</f>
        <v>0</v>
      </c>
      <c r="X75" s="83">
        <f>SUMIFS(Dataset!AA:AA,Dataset!F:F,'retorno absoluto'!$D$11,Dataset!AH:AH,"bono de gobierno",Dataset!T:T,"sol",Dataset!J:J,"&lt;"&amp;$D75,Dataset!J:J,"&gt;="&amp;$C75)</f>
        <v>0</v>
      </c>
      <c r="Y75" s="83">
        <f>SUMIFS(Dataset!AA:AA,Dataset!F:F,'retorno absoluto'!$D$11,Dataset!AH:AH,"bono corporativo",Dataset!T:T,"$",Dataset!J:J,"&lt;"&amp;$D75,Dataset!J:J,"&gt;="&amp;$C75)</f>
        <v>0</v>
      </c>
      <c r="Z75" s="83">
        <f>SUMIFS(Dataset!AA:AA,Dataset!F:F,'retorno absoluto'!$D$11,Dataset!AH:AH,"bono corporativo",Dataset!T:T,"UF",Dataset!J:J,"&lt;"&amp;$D75,Dataset!J:J,"&gt;="&amp;$C75)</f>
        <v>0</v>
      </c>
      <c r="AA75" s="83">
        <f>SUMIFS(Dataset!AA:AA,Dataset!F:F,'retorno absoluto'!$D$11,Dataset!J:J,"&lt;"&amp;$D75,Dataset!J:J,"&gt;="&amp;$C75,Dataset!AH:AH,"&lt;&gt;bono corporativo",Dataset!AH:AH,"&lt;&gt;bono de gobierno",Dataset!AH:AH,"&lt;&gt;deposito")</f>
        <v>0</v>
      </c>
      <c r="AB75" s="84">
        <f t="shared" si="9"/>
        <v>0</v>
      </c>
      <c r="AC75" s="85">
        <f>SUMIFS(Dataset!H:H,Dataset!F:F,'retorno absoluto'!$D$11,Dataset!AH:AH,"deposito",Dataset!T:T,"$",Dataset!J:J,"&lt;"&amp;$D75,Dataset!J:J,"&gt;="&amp;$C75)*10</f>
        <v>0</v>
      </c>
      <c r="AD75" s="86">
        <f>SUMIFS(Dataset!H:H,Dataset!F:F,'retorno absoluto'!$D$11,Dataset!AH:AH,"deposito",Dataset!T:T,"UF",Dataset!J:J,"&lt;"&amp;$D75,Dataset!J:J,"&gt;="&amp;$C75)*10</f>
        <v>0</v>
      </c>
      <c r="AE75" s="86">
        <f>SUMIFS(Dataset!H:H,Dataset!F:F,'retorno absoluto'!$D$11,Dataset!AH:AH,"bono de gobierno",Dataset!T:T,"$",Dataset!J:J,"&lt;"&amp;$D75,Dataset!J:J,"&gt;="&amp;$C75)*10</f>
        <v>0</v>
      </c>
      <c r="AF75" s="86">
        <f>SUMIFS(Dataset!H:H,Dataset!F:F,'retorno absoluto'!$D$11,Dataset!AH:AH,"bono de gobierno",Dataset!T:T,"UF",Dataset!J:J,"&lt;"&amp;$D75,Dataset!J:J,"&gt;="&amp;$C75)*10</f>
        <v>0</v>
      </c>
      <c r="AG75" s="86">
        <f>SUMIFS(Dataset!H:H,Dataset!F:F,'retorno absoluto'!$D$11,Dataset!AH:AH,"bono de gobierno",Dataset!T:T,"EU",Dataset!J:J,"&lt;"&amp;$D75,Dataset!J:J,"&gt;="&amp;$C75)*10</f>
        <v>0</v>
      </c>
      <c r="AH75" s="86">
        <f>SUMIFS(Dataset!H:H,Dataset!F:F,'retorno absoluto'!$D$11,Dataset!AH:AH,"bono de gobierno",Dataset!T:T,"MX",Dataset!J:J,"&lt;"&amp;$D75,Dataset!J:J,"&gt;="&amp;$C75)*10</f>
        <v>0</v>
      </c>
      <c r="AI75" s="86">
        <f>SUMIFS(Dataset!H:H,Dataset!F:F,'retorno absoluto'!$D$11,Dataset!AH:AH,"bono de gobierno",Dataset!T:T,"REA",Dataset!J:J,"&lt;"&amp;$D75,Dataset!J:J,"&gt;="&amp;$C75)*10</f>
        <v>0</v>
      </c>
      <c r="AJ75" s="86">
        <f>SUMIFS(Dataset!H:H,Dataset!F:F,'retorno absoluto'!$D$11,Dataset!AH:AH,"bono de gobierno",Dataset!T:T,"sol",Dataset!J:J,"&lt;"&amp;$D75,Dataset!J:J,"&gt;="&amp;$C75)*10</f>
        <v>0</v>
      </c>
      <c r="AK75" s="86">
        <f>SUMIFS(Dataset!H:H,Dataset!F:F,'retorno absoluto'!$D$11,Dataset!AH:AH,"bono corporativo",Dataset!T:T,"$",Dataset!J:J,"&lt;"&amp;$D75,Dataset!J:J,"&gt;="&amp;$C75)*10</f>
        <v>0</v>
      </c>
      <c r="AL75" s="86">
        <f>SUMIFS(Dataset!H:H,Dataset!F:F,'retorno absoluto'!$D$11,Dataset!AH:AH,"bono corporativo",Dataset!T:T,"UF",Dataset!J:J,"&lt;"&amp;$D75,Dataset!J:J,"&gt;="&amp;$C75)*10</f>
        <v>0</v>
      </c>
      <c r="AM75" s="86">
        <f>SUMIFS(Dataset!H:H,Dataset!F:F,'retorno absoluto'!$D$11,Dataset!J:J,"&lt;"&amp;$D75,Dataset!J:J,"&gt;="&amp;$C75,Dataset!AH:AH,"&lt;&gt;bono corporativo",Dataset!AH:AH,"&lt;&gt;bono de gobierno",Dataset!AH:AH,"&lt;&gt;deposito")*10</f>
        <v>0</v>
      </c>
      <c r="AN75" s="87">
        <f t="shared" si="10"/>
        <v>0</v>
      </c>
    </row>
    <row r="76" spans="2:40" ht="33" customHeight="1" x14ac:dyDescent="0.3">
      <c r="C76" s="61">
        <v>1.5</v>
      </c>
      <c r="D76" s="81">
        <v>2.5</v>
      </c>
      <c r="E76" s="82">
        <f>SUMIFS(Dataset!AK:AK,Dataset!F:F,'retorno absoluto'!$D$11,Dataset!AH:AH,"deposito",Dataset!T:T,"$",Dataset!J:J,"&lt;"&amp;$D76,Dataset!J:J,"&gt;="&amp;$C76)</f>
        <v>0</v>
      </c>
      <c r="F76" s="83">
        <f>SUMIFS(Dataset!AK:AK,Dataset!F:F,'retorno absoluto'!$D$11,Dataset!AH:AH,"deposito",Dataset!T:T,"UF",Dataset!J:J,"&lt;"&amp;$D76,Dataset!J:J,"&gt;="&amp;$C76)</f>
        <v>0</v>
      </c>
      <c r="G76" s="83">
        <f>SUMIFS(Dataset!AK:AK,Dataset!F:F,'retorno absoluto'!$D$11,Dataset!AH:AH,"bono de gobierno",Dataset!T:T,"$",Dataset!J:J,"&lt;"&amp;$D76,Dataset!J:J,"&gt;="&amp;$C76)</f>
        <v>0</v>
      </c>
      <c r="H76" s="83">
        <f>SUMIFS(Dataset!AK:AK,Dataset!F:F,'retorno absoluto'!$D$11,Dataset!AH:AH,"bono de gobierno",Dataset!T:T,"UF",Dataset!J:J,"&lt;"&amp;$D76,Dataset!J:J,"&gt;="&amp;$C76)</f>
        <v>0</v>
      </c>
      <c r="I76" s="83">
        <f>SUMIFS(Dataset!AK:AK,Dataset!F:F,'retorno absoluto'!$D$11,Dataset!AH:AH,"bono de gobierno",Dataset!T:T,"eu",Dataset!J:J,"&lt;"&amp;$D76,Dataset!J:J,"&gt;="&amp;$C76)</f>
        <v>0</v>
      </c>
      <c r="J76" s="83">
        <f>SUMIFS(Dataset!AK:AK,Dataset!F:F,'retorno absoluto'!$D$11,Dataset!AH:AH,"bono de gobierno",Dataset!T:T,"mx",Dataset!J:J,"&lt;"&amp;$D76,Dataset!J:J,"&gt;="&amp;$C76)</f>
        <v>0</v>
      </c>
      <c r="K76" s="83">
        <f>SUMIFS(Dataset!AK:AK,Dataset!F:F,'retorno absoluto'!$D$11,Dataset!AH:AH,"bono de gobierno",Dataset!T:T,"rea",Dataset!J:J,"&lt;"&amp;$D76,Dataset!J:J,"&gt;="&amp;$C76)</f>
        <v>0</v>
      </c>
      <c r="L76" s="83">
        <f>SUMIFS(Dataset!AK:AK,Dataset!F:F,'retorno absoluto'!$D$11,Dataset!AH:AH,"bono de gobierno",Dataset!T:T,"sol",Dataset!J:J,"&lt;"&amp;$D76,Dataset!J:J,"&gt;="&amp;$C76)</f>
        <v>0</v>
      </c>
      <c r="M76" s="83">
        <f>SUMIFS(Dataset!AK:AK,Dataset!F:F,'retorno absoluto'!$D$11,Dataset!AH:AH,"bono corporativo",Dataset!T:T,"$",Dataset!J:J,"&lt;"&amp;$D76,Dataset!J:J,"&gt;="&amp;$C76)</f>
        <v>0</v>
      </c>
      <c r="N76" s="83">
        <f>SUMIFS(Dataset!AK:AK,Dataset!F:F,'retorno absoluto'!$D$11,Dataset!AH:AH,"bono corporativo",Dataset!T:T,"UF",Dataset!J:J,"&lt;"&amp;$D76,Dataset!J:J,"&gt;="&amp;$C76)</f>
        <v>0</v>
      </c>
      <c r="O76" s="83">
        <f>SUMIFS(Dataset!AK:AK,Dataset!F:F,'retorno absoluto'!$D$11,Dataset!J:J,"&lt;"&amp;$D76,Dataset!J:J,"&gt;="&amp;$C76,Dataset!AH:AH,"&lt;&gt;bono corporativo",Dataset!AH:AH,"&lt;&gt;bono de gobierno",Dataset!AH:AH,"&lt;&gt;deposito")</f>
        <v>0</v>
      </c>
      <c r="P76" s="84">
        <f t="shared" si="8"/>
        <v>0</v>
      </c>
      <c r="Q76" s="82">
        <f>SUMIFS(Dataset!AA:AA,Dataset!F:F,'retorno absoluto'!$D$11,Dataset!AH:AH,"deposito",Dataset!T:T,"$",Dataset!J:J,"&lt;"&amp;$D76,Dataset!J:J,"&gt;="&amp;$C76)</f>
        <v>0</v>
      </c>
      <c r="R76" s="83">
        <f>SUMIFS(Dataset!AA:AA,Dataset!F:F,'retorno absoluto'!$D$11,Dataset!AH:AH,"deposito",Dataset!T:T,"UF",Dataset!J:J,"&lt;"&amp;$D76,Dataset!J:J,"&gt;="&amp;$C76)</f>
        <v>0</v>
      </c>
      <c r="S76" s="83">
        <f>SUMIFS(Dataset!AA:AA,Dataset!F:F,'retorno absoluto'!$D$11,Dataset!AH:AH,"bono de gobierno",Dataset!T:T,"$",Dataset!J:J,"&lt;"&amp;$D76,Dataset!J:J,"&gt;="&amp;$C76)</f>
        <v>0</v>
      </c>
      <c r="T76" s="83">
        <f>SUMIFS(Dataset!AA:AA,Dataset!F:F,'retorno absoluto'!$D$11,Dataset!AH:AH,"bono de gobierno",Dataset!T:T,"UF",Dataset!J:J,"&lt;"&amp;$D76,Dataset!J:J,"&gt;="&amp;$C76)</f>
        <v>0</v>
      </c>
      <c r="U76" s="83">
        <f>SUMIFS(Dataset!AA:AA,Dataset!F:F,'retorno absoluto'!$D$11,Dataset!AH:AH,"bono de gobierno",Dataset!T:T,"EU",Dataset!J:J,"&lt;"&amp;$D76,Dataset!J:J,"&gt;="&amp;$C76)</f>
        <v>0</v>
      </c>
      <c r="V76" s="83">
        <f>SUMIFS(Dataset!AA:AA,Dataset!F:F,'retorno absoluto'!$D$11,Dataset!AH:AH,"bono de gobierno",Dataset!T:T,"MX",Dataset!J:J,"&lt;"&amp;$D76,Dataset!J:J,"&gt;="&amp;$C76)</f>
        <v>0</v>
      </c>
      <c r="W76" s="83">
        <f>SUMIFS(Dataset!AA:AA,Dataset!F:F,'retorno absoluto'!$D$11,Dataset!AH:AH,"bono de gobierno",Dataset!T:T,"REA",Dataset!J:J,"&lt;"&amp;$D76,Dataset!J:J,"&gt;="&amp;$C76)</f>
        <v>0</v>
      </c>
      <c r="X76" s="83">
        <f>SUMIFS(Dataset!AA:AA,Dataset!F:F,'retorno absoluto'!$D$11,Dataset!AH:AH,"bono de gobierno",Dataset!T:T,"sol",Dataset!J:J,"&lt;"&amp;$D76,Dataset!J:J,"&gt;="&amp;$C76)</f>
        <v>0</v>
      </c>
      <c r="Y76" s="83">
        <f>SUMIFS(Dataset!AA:AA,Dataset!F:F,'retorno absoluto'!$D$11,Dataset!AH:AH,"bono corporativo",Dataset!T:T,"$",Dataset!J:J,"&lt;"&amp;$D76,Dataset!J:J,"&gt;="&amp;$C76)</f>
        <v>0</v>
      </c>
      <c r="Z76" s="83">
        <f>SUMIFS(Dataset!AA:AA,Dataset!F:F,'retorno absoluto'!$D$11,Dataset!AH:AH,"bono corporativo",Dataset!T:T,"UF",Dataset!J:J,"&lt;"&amp;$D76,Dataset!J:J,"&gt;="&amp;$C76)</f>
        <v>0</v>
      </c>
      <c r="AA76" s="83">
        <f>SUMIFS(Dataset!AA:AA,Dataset!F:F,'retorno absoluto'!$D$11,Dataset!J:J,"&lt;"&amp;$D76,Dataset!J:J,"&gt;="&amp;$C76,Dataset!AH:AH,"&lt;&gt;bono corporativo",Dataset!AH:AH,"&lt;&gt;bono de gobierno",Dataset!AH:AH,"&lt;&gt;deposito")</f>
        <v>0</v>
      </c>
      <c r="AB76" s="84">
        <f t="shared" si="9"/>
        <v>0</v>
      </c>
      <c r="AC76" s="85">
        <f>SUMIFS(Dataset!H:H,Dataset!F:F,'retorno absoluto'!$D$11,Dataset!AH:AH,"deposito",Dataset!T:T,"$",Dataset!J:J,"&lt;"&amp;$D76,Dataset!J:J,"&gt;="&amp;$C76)*10</f>
        <v>0</v>
      </c>
      <c r="AD76" s="86">
        <f>SUMIFS(Dataset!H:H,Dataset!F:F,'retorno absoluto'!$D$11,Dataset!AH:AH,"deposito",Dataset!T:T,"UF",Dataset!J:J,"&lt;"&amp;$D76,Dataset!J:J,"&gt;="&amp;$C76)*10</f>
        <v>0</v>
      </c>
      <c r="AE76" s="86">
        <f>SUMIFS(Dataset!H:H,Dataset!F:F,'retorno absoluto'!$D$11,Dataset!AH:AH,"bono de gobierno",Dataset!T:T,"$",Dataset!J:J,"&lt;"&amp;$D76,Dataset!J:J,"&gt;="&amp;$C76)*10</f>
        <v>0</v>
      </c>
      <c r="AF76" s="86">
        <f>SUMIFS(Dataset!H:H,Dataset!F:F,'retorno absoluto'!$D$11,Dataset!AH:AH,"bono de gobierno",Dataset!T:T,"UF",Dataset!J:J,"&lt;"&amp;$D76,Dataset!J:J,"&gt;="&amp;$C76)*10</f>
        <v>0</v>
      </c>
      <c r="AG76" s="86">
        <f>SUMIFS(Dataset!H:H,Dataset!F:F,'retorno absoluto'!$D$11,Dataset!AH:AH,"bono de gobierno",Dataset!T:T,"EU",Dataset!J:J,"&lt;"&amp;$D76,Dataset!J:J,"&gt;="&amp;$C76)*10</f>
        <v>0</v>
      </c>
      <c r="AH76" s="86">
        <f>SUMIFS(Dataset!H:H,Dataset!F:F,'retorno absoluto'!$D$11,Dataset!AH:AH,"bono de gobierno",Dataset!T:T,"MX",Dataset!J:J,"&lt;"&amp;$D76,Dataset!J:J,"&gt;="&amp;$C76)*10</f>
        <v>0</v>
      </c>
      <c r="AI76" s="86">
        <f>SUMIFS(Dataset!H:H,Dataset!F:F,'retorno absoluto'!$D$11,Dataset!AH:AH,"bono de gobierno",Dataset!T:T,"REA",Dataset!J:J,"&lt;"&amp;$D76,Dataset!J:J,"&gt;="&amp;$C76)*10</f>
        <v>0</v>
      </c>
      <c r="AJ76" s="86">
        <f>SUMIFS(Dataset!H:H,Dataset!F:F,'retorno absoluto'!$D$11,Dataset!AH:AH,"bono de gobierno",Dataset!T:T,"sol",Dataset!J:J,"&lt;"&amp;$D76,Dataset!J:J,"&gt;="&amp;$C76)*10</f>
        <v>0</v>
      </c>
      <c r="AK76" s="86">
        <f>SUMIFS(Dataset!H:H,Dataset!F:F,'retorno absoluto'!$D$11,Dataset!AH:AH,"bono corporativo",Dataset!T:T,"$",Dataset!J:J,"&lt;"&amp;$D76,Dataset!J:J,"&gt;="&amp;$C76)*10</f>
        <v>0</v>
      </c>
      <c r="AL76" s="86">
        <f>SUMIFS(Dataset!H:H,Dataset!F:F,'retorno absoluto'!$D$11,Dataset!AH:AH,"bono corporativo",Dataset!T:T,"UF",Dataset!J:J,"&lt;"&amp;$D76,Dataset!J:J,"&gt;="&amp;$C76)*10</f>
        <v>0</v>
      </c>
      <c r="AM76" s="86">
        <f>SUMIFS(Dataset!H:H,Dataset!F:F,'retorno absoluto'!$D$11,Dataset!J:J,"&lt;"&amp;$D76,Dataset!J:J,"&gt;="&amp;$C76,Dataset!AH:AH,"&lt;&gt;bono corporativo",Dataset!AH:AH,"&lt;&gt;bono de gobierno",Dataset!AH:AH,"&lt;&gt;deposito")*10</f>
        <v>0</v>
      </c>
      <c r="AN76" s="87">
        <f t="shared" si="10"/>
        <v>0</v>
      </c>
    </row>
    <row r="77" spans="2:40" ht="27" customHeight="1" x14ac:dyDescent="0.3">
      <c r="C77" s="61">
        <v>2.5</v>
      </c>
      <c r="D77" s="81">
        <v>3.5</v>
      </c>
      <c r="E77" s="82">
        <f>SUMIFS(Dataset!AK:AK,Dataset!F:F,'retorno absoluto'!$D$11,Dataset!AH:AH,"deposito",Dataset!T:T,"$",Dataset!J:J,"&lt;"&amp;$D77,Dataset!J:J,"&gt;="&amp;$C77)</f>
        <v>0</v>
      </c>
      <c r="F77" s="83">
        <f>SUMIFS(Dataset!AK:AK,Dataset!F:F,'retorno absoluto'!$D$11,Dataset!AH:AH,"deposito",Dataset!T:T,"UF",Dataset!J:J,"&lt;"&amp;$D77,Dataset!J:J,"&gt;="&amp;$C77)</f>
        <v>0</v>
      </c>
      <c r="G77" s="83">
        <f>SUMIFS(Dataset!AK:AK,Dataset!F:F,'retorno absoluto'!$D$11,Dataset!AH:AH,"bono de gobierno",Dataset!T:T,"$",Dataset!J:J,"&lt;"&amp;$D77,Dataset!J:J,"&gt;="&amp;$C77)</f>
        <v>0</v>
      </c>
      <c r="H77" s="83">
        <f>SUMIFS(Dataset!AK:AK,Dataset!F:F,'retorno absoluto'!$D$11,Dataset!AH:AH,"bono de gobierno",Dataset!T:T,"UF",Dataset!J:J,"&lt;"&amp;$D77,Dataset!J:J,"&gt;="&amp;$C77)</f>
        <v>0</v>
      </c>
      <c r="I77" s="83">
        <f>SUMIFS(Dataset!AK:AK,Dataset!F:F,'retorno absoluto'!$D$11,Dataset!AH:AH,"bono de gobierno",Dataset!T:T,"eu",Dataset!J:J,"&lt;"&amp;$D77,Dataset!J:J,"&gt;="&amp;$C77)</f>
        <v>0</v>
      </c>
      <c r="J77" s="83">
        <f>SUMIFS(Dataset!AK:AK,Dataset!F:F,'retorno absoluto'!$D$11,Dataset!AH:AH,"bono de gobierno",Dataset!T:T,"mx",Dataset!J:J,"&lt;"&amp;$D77,Dataset!J:J,"&gt;="&amp;$C77)</f>
        <v>0</v>
      </c>
      <c r="K77" s="83">
        <f>SUMIFS(Dataset!AK:AK,Dataset!F:F,'retorno absoluto'!$D$11,Dataset!AH:AH,"bono de gobierno",Dataset!T:T,"rea",Dataset!J:J,"&lt;"&amp;$D77,Dataset!J:J,"&gt;="&amp;$C77)</f>
        <v>0</v>
      </c>
      <c r="L77" s="83">
        <f>SUMIFS(Dataset!AK:AK,Dataset!F:F,'retorno absoluto'!$D$11,Dataset!AH:AH,"bono de gobierno",Dataset!T:T,"sol",Dataset!J:J,"&lt;"&amp;$D77,Dataset!J:J,"&gt;="&amp;$C77)</f>
        <v>0</v>
      </c>
      <c r="M77" s="83">
        <f>SUMIFS(Dataset!AK:AK,Dataset!F:F,'retorno absoluto'!$D$11,Dataset!AH:AH,"bono corporativo",Dataset!T:T,"$",Dataset!J:J,"&lt;"&amp;$D77,Dataset!J:J,"&gt;="&amp;$C77)</f>
        <v>0</v>
      </c>
      <c r="N77" s="83">
        <f>SUMIFS(Dataset!AK:AK,Dataset!F:F,'retorno absoluto'!$D$11,Dataset!AH:AH,"bono corporativo",Dataset!T:T,"UF",Dataset!J:J,"&lt;"&amp;$D77,Dataset!J:J,"&gt;="&amp;$C77)</f>
        <v>0</v>
      </c>
      <c r="O77" s="83">
        <f>SUMIFS(Dataset!AK:AK,Dataset!F:F,'retorno absoluto'!$D$11,Dataset!J:J,"&lt;"&amp;$D77,Dataset!J:J,"&gt;="&amp;$C77,Dataset!AH:AH,"&lt;&gt;bono corporativo",Dataset!AH:AH,"&lt;&gt;bono de gobierno",Dataset!AH:AH,"&lt;&gt;deposito")</f>
        <v>0</v>
      </c>
      <c r="P77" s="84">
        <f t="shared" si="8"/>
        <v>0</v>
      </c>
      <c r="Q77" s="82">
        <f>SUMIFS(Dataset!AA:AA,Dataset!F:F,'retorno absoluto'!$D$11,Dataset!AH:AH,"deposito",Dataset!T:T,"$",Dataset!J:J,"&lt;"&amp;$D77,Dataset!J:J,"&gt;="&amp;$C77)</f>
        <v>0</v>
      </c>
      <c r="R77" s="83">
        <f>SUMIFS(Dataset!AA:AA,Dataset!F:F,'retorno absoluto'!$D$11,Dataset!AH:AH,"deposito",Dataset!T:T,"UF",Dataset!J:J,"&lt;"&amp;$D77,Dataset!J:J,"&gt;="&amp;$C77)</f>
        <v>0</v>
      </c>
      <c r="S77" s="83">
        <f>SUMIFS(Dataset!AA:AA,Dataset!F:F,'retorno absoluto'!$D$11,Dataset!AH:AH,"bono de gobierno",Dataset!T:T,"$",Dataset!J:J,"&lt;"&amp;$D77,Dataset!J:J,"&gt;="&amp;$C77)</f>
        <v>0</v>
      </c>
      <c r="T77" s="83">
        <f>SUMIFS(Dataset!AA:AA,Dataset!F:F,'retorno absoluto'!$D$11,Dataset!AH:AH,"bono de gobierno",Dataset!T:T,"UF",Dataset!J:J,"&lt;"&amp;$D77,Dataset!J:J,"&gt;="&amp;$C77)</f>
        <v>0</v>
      </c>
      <c r="U77" s="83">
        <f>SUMIFS(Dataset!AA:AA,Dataset!F:F,'retorno absoluto'!$D$11,Dataset!AH:AH,"bono de gobierno",Dataset!T:T,"EU",Dataset!J:J,"&lt;"&amp;$D77,Dataset!J:J,"&gt;="&amp;$C77)</f>
        <v>0</v>
      </c>
      <c r="V77" s="83">
        <f>SUMIFS(Dataset!AA:AA,Dataset!F:F,'retorno absoluto'!$D$11,Dataset!AH:AH,"bono de gobierno",Dataset!T:T,"MX",Dataset!J:J,"&lt;"&amp;$D77,Dataset!J:J,"&gt;="&amp;$C77)</f>
        <v>0</v>
      </c>
      <c r="W77" s="83">
        <f>SUMIFS(Dataset!AA:AA,Dataset!F:F,'retorno absoluto'!$D$11,Dataset!AH:AH,"bono de gobierno",Dataset!T:T,"REA",Dataset!J:J,"&lt;"&amp;$D77,Dataset!J:J,"&gt;="&amp;$C77)</f>
        <v>0</v>
      </c>
      <c r="X77" s="83">
        <f>SUMIFS(Dataset!AA:AA,Dataset!F:F,'retorno absoluto'!$D$11,Dataset!AH:AH,"bono de gobierno",Dataset!T:T,"sol",Dataset!J:J,"&lt;"&amp;$D77,Dataset!J:J,"&gt;="&amp;$C77)</f>
        <v>0</v>
      </c>
      <c r="Y77" s="83">
        <f>SUMIFS(Dataset!AA:AA,Dataset!F:F,'retorno absoluto'!$D$11,Dataset!AH:AH,"bono corporativo",Dataset!T:T,"$",Dataset!J:J,"&lt;"&amp;$D77,Dataset!J:J,"&gt;="&amp;$C77)</f>
        <v>0</v>
      </c>
      <c r="Z77" s="83">
        <f>SUMIFS(Dataset!AA:AA,Dataset!F:F,'retorno absoluto'!$D$11,Dataset!AH:AH,"bono corporativo",Dataset!T:T,"UF",Dataset!J:J,"&lt;"&amp;$D77,Dataset!J:J,"&gt;="&amp;$C77)</f>
        <v>0</v>
      </c>
      <c r="AA77" s="83">
        <f>SUMIFS(Dataset!AA:AA,Dataset!F:F,'retorno absoluto'!$D$11,Dataset!J:J,"&lt;"&amp;$D77,Dataset!J:J,"&gt;="&amp;$C77,Dataset!AH:AH,"&lt;&gt;bono corporativo",Dataset!AH:AH,"&lt;&gt;bono de gobierno",Dataset!AH:AH,"&lt;&gt;deposito")</f>
        <v>0</v>
      </c>
      <c r="AB77" s="84">
        <f t="shared" si="9"/>
        <v>0</v>
      </c>
      <c r="AC77" s="85">
        <f>SUMIFS(Dataset!H:H,Dataset!F:F,'retorno absoluto'!$D$11,Dataset!AH:AH,"deposito",Dataset!T:T,"$",Dataset!J:J,"&lt;"&amp;$D77,Dataset!J:J,"&gt;="&amp;$C77)*10</f>
        <v>0</v>
      </c>
      <c r="AD77" s="86">
        <f>SUMIFS(Dataset!H:H,Dataset!F:F,'retorno absoluto'!$D$11,Dataset!AH:AH,"deposito",Dataset!T:T,"UF",Dataset!J:J,"&lt;"&amp;$D77,Dataset!J:J,"&gt;="&amp;$C77)*10</f>
        <v>0</v>
      </c>
      <c r="AE77" s="86">
        <f>SUMIFS(Dataset!H:H,Dataset!F:F,'retorno absoluto'!$D$11,Dataset!AH:AH,"bono de gobierno",Dataset!T:T,"$",Dataset!J:J,"&lt;"&amp;$D77,Dataset!J:J,"&gt;="&amp;$C77)*10</f>
        <v>0</v>
      </c>
      <c r="AF77" s="86">
        <f>SUMIFS(Dataset!H:H,Dataset!F:F,'retorno absoluto'!$D$11,Dataset!AH:AH,"bono de gobierno",Dataset!T:T,"UF",Dataset!J:J,"&lt;"&amp;$D77,Dataset!J:J,"&gt;="&amp;$C77)*10</f>
        <v>0</v>
      </c>
      <c r="AG77" s="86">
        <f>SUMIFS(Dataset!H:H,Dataset!F:F,'retorno absoluto'!$D$11,Dataset!AH:AH,"bono de gobierno",Dataset!T:T,"EU",Dataset!J:J,"&lt;"&amp;$D77,Dataset!J:J,"&gt;="&amp;$C77)*10</f>
        <v>0</v>
      </c>
      <c r="AH77" s="86">
        <f>SUMIFS(Dataset!H:H,Dataset!F:F,'retorno absoluto'!$D$11,Dataset!AH:AH,"bono de gobierno",Dataset!T:T,"MX",Dataset!J:J,"&lt;"&amp;$D77,Dataset!J:J,"&gt;="&amp;$C77)*10</f>
        <v>0</v>
      </c>
      <c r="AI77" s="86">
        <f>SUMIFS(Dataset!H:H,Dataset!F:F,'retorno absoluto'!$D$11,Dataset!AH:AH,"bono de gobierno",Dataset!T:T,"REA",Dataset!J:J,"&lt;"&amp;$D77,Dataset!J:J,"&gt;="&amp;$C77)*10</f>
        <v>0</v>
      </c>
      <c r="AJ77" s="86">
        <f>SUMIFS(Dataset!H:H,Dataset!F:F,'retorno absoluto'!$D$11,Dataset!AH:AH,"bono de gobierno",Dataset!T:T,"sol",Dataset!J:J,"&lt;"&amp;$D77,Dataset!J:J,"&gt;="&amp;$C77)*10</f>
        <v>0</v>
      </c>
      <c r="AK77" s="86">
        <f>SUMIFS(Dataset!H:H,Dataset!F:F,'retorno absoluto'!$D$11,Dataset!AH:AH,"bono corporativo",Dataset!T:T,"$",Dataset!J:J,"&lt;"&amp;$D77,Dataset!J:J,"&gt;="&amp;$C77)*10</f>
        <v>0</v>
      </c>
      <c r="AL77" s="86">
        <f>SUMIFS(Dataset!H:H,Dataset!F:F,'retorno absoluto'!$D$11,Dataset!AH:AH,"bono corporativo",Dataset!T:T,"UF",Dataset!J:J,"&lt;"&amp;$D77,Dataset!J:J,"&gt;="&amp;$C77)*10</f>
        <v>0</v>
      </c>
      <c r="AM77" s="86">
        <f>SUMIFS(Dataset!H:H,Dataset!F:F,'retorno absoluto'!$D$11,Dataset!J:J,"&lt;"&amp;$D77,Dataset!J:J,"&gt;="&amp;$C77,Dataset!AH:AH,"&lt;&gt;bono corporativo",Dataset!AH:AH,"&lt;&gt;bono de gobierno",Dataset!AH:AH,"&lt;&gt;deposito")*10</f>
        <v>0</v>
      </c>
      <c r="AN77" s="87">
        <f t="shared" si="10"/>
        <v>0</v>
      </c>
    </row>
    <row r="78" spans="2:40" ht="27" customHeight="1" x14ac:dyDescent="0.3">
      <c r="C78" s="61">
        <v>3.5</v>
      </c>
      <c r="D78" s="81">
        <v>4.5</v>
      </c>
      <c r="E78" s="82">
        <f>SUMIFS(Dataset!AK:AK,Dataset!F:F,'retorno absoluto'!$D$11,Dataset!AH:AH,"deposito",Dataset!T:T,"$",Dataset!J:J,"&lt;"&amp;$D78,Dataset!J:J,"&gt;="&amp;$C78)</f>
        <v>0</v>
      </c>
      <c r="F78" s="83">
        <f>SUMIFS(Dataset!AK:AK,Dataset!F:F,'retorno absoluto'!$D$11,Dataset!AH:AH,"deposito",Dataset!T:T,"UF",Dataset!J:J,"&lt;"&amp;$D78,Dataset!J:J,"&gt;="&amp;$C78)</f>
        <v>0</v>
      </c>
      <c r="G78" s="83">
        <f>SUMIFS(Dataset!AK:AK,Dataset!F:F,'retorno absoluto'!$D$11,Dataset!AH:AH,"bono de gobierno",Dataset!T:T,"$",Dataset!J:J,"&lt;"&amp;$D78,Dataset!J:J,"&gt;="&amp;$C78)</f>
        <v>0</v>
      </c>
      <c r="H78" s="83">
        <f>SUMIFS(Dataset!AK:AK,Dataset!F:F,'retorno absoluto'!$D$11,Dataset!AH:AH,"bono de gobierno",Dataset!T:T,"UF",Dataset!J:J,"&lt;"&amp;$D78,Dataset!J:J,"&gt;="&amp;$C78)</f>
        <v>0</v>
      </c>
      <c r="I78" s="83">
        <f>SUMIFS(Dataset!AK:AK,Dataset!F:F,'retorno absoluto'!$D$11,Dataset!AH:AH,"bono de gobierno",Dataset!T:T,"eu",Dataset!J:J,"&lt;"&amp;$D78,Dataset!J:J,"&gt;="&amp;$C78)</f>
        <v>0</v>
      </c>
      <c r="J78" s="83">
        <f>SUMIFS(Dataset!AK:AK,Dataset!F:F,'retorno absoluto'!$D$11,Dataset!AH:AH,"bono de gobierno",Dataset!T:T,"mx",Dataset!J:J,"&lt;"&amp;$D78,Dataset!J:J,"&gt;="&amp;$C78)</f>
        <v>0</v>
      </c>
      <c r="K78" s="83">
        <f>SUMIFS(Dataset!AK:AK,Dataset!F:F,'retorno absoluto'!$D$11,Dataset!AH:AH,"bono de gobierno",Dataset!T:T,"rea",Dataset!J:J,"&lt;"&amp;$D78,Dataset!J:J,"&gt;="&amp;$C78)</f>
        <v>0</v>
      </c>
      <c r="L78" s="83">
        <f>SUMIFS(Dataset!AK:AK,Dataset!F:F,'retorno absoluto'!$D$11,Dataset!AH:AH,"bono de gobierno",Dataset!T:T,"sol",Dataset!J:J,"&lt;"&amp;$D78,Dataset!J:J,"&gt;="&amp;$C78)</f>
        <v>0</v>
      </c>
      <c r="M78" s="83">
        <f>SUMIFS(Dataset!AK:AK,Dataset!F:F,'retorno absoluto'!$D$11,Dataset!AH:AH,"bono corporativo",Dataset!T:T,"$",Dataset!J:J,"&lt;"&amp;$D78,Dataset!J:J,"&gt;="&amp;$C78)</f>
        <v>0</v>
      </c>
      <c r="N78" s="83">
        <f>SUMIFS(Dataset!AK:AK,Dataset!F:F,'retorno absoluto'!$D$11,Dataset!AH:AH,"bono corporativo",Dataset!T:T,"UF",Dataset!J:J,"&lt;"&amp;$D78,Dataset!J:J,"&gt;="&amp;$C78)</f>
        <v>0</v>
      </c>
      <c r="O78" s="83">
        <f>SUMIFS(Dataset!AK:AK,Dataset!F:F,'retorno absoluto'!$D$11,Dataset!J:J,"&lt;"&amp;$D78,Dataset!J:J,"&gt;="&amp;$C78,Dataset!AH:AH,"&lt;&gt;bono corporativo",Dataset!AH:AH,"&lt;&gt;bono de gobierno",Dataset!AH:AH,"&lt;&gt;deposito")</f>
        <v>0</v>
      </c>
      <c r="P78" s="84">
        <f t="shared" si="8"/>
        <v>0</v>
      </c>
      <c r="Q78" s="82">
        <f>SUMIFS(Dataset!AA:AA,Dataset!F:F,'retorno absoluto'!$D$11,Dataset!AH:AH,"deposito",Dataset!T:T,"$",Dataset!J:J,"&lt;"&amp;$D78,Dataset!J:J,"&gt;="&amp;$C78)</f>
        <v>0</v>
      </c>
      <c r="R78" s="83">
        <f>SUMIFS(Dataset!AA:AA,Dataset!F:F,'retorno absoluto'!$D$11,Dataset!AH:AH,"deposito",Dataset!T:T,"UF",Dataset!J:J,"&lt;"&amp;$D78,Dataset!J:J,"&gt;="&amp;$C78)</f>
        <v>0</v>
      </c>
      <c r="S78" s="83">
        <f>SUMIFS(Dataset!AA:AA,Dataset!F:F,'retorno absoluto'!$D$11,Dataset!AH:AH,"bono de gobierno",Dataset!T:T,"$",Dataset!J:J,"&lt;"&amp;$D78,Dataset!J:J,"&gt;="&amp;$C78)</f>
        <v>0</v>
      </c>
      <c r="T78" s="83">
        <f>SUMIFS(Dataset!AA:AA,Dataset!F:F,'retorno absoluto'!$D$11,Dataset!AH:AH,"bono de gobierno",Dataset!T:T,"UF",Dataset!J:J,"&lt;"&amp;$D78,Dataset!J:J,"&gt;="&amp;$C78)</f>
        <v>0</v>
      </c>
      <c r="U78" s="83">
        <f>SUMIFS(Dataset!AA:AA,Dataset!F:F,'retorno absoluto'!$D$11,Dataset!AH:AH,"bono de gobierno",Dataset!T:T,"EU",Dataset!J:J,"&lt;"&amp;$D78,Dataset!J:J,"&gt;="&amp;$C78)</f>
        <v>0</v>
      </c>
      <c r="V78" s="83">
        <f>SUMIFS(Dataset!AA:AA,Dataset!F:F,'retorno absoluto'!$D$11,Dataset!AH:AH,"bono de gobierno",Dataset!T:T,"MX",Dataset!J:J,"&lt;"&amp;$D78,Dataset!J:J,"&gt;="&amp;$C78)</f>
        <v>0</v>
      </c>
      <c r="W78" s="83">
        <f>SUMIFS(Dataset!AA:AA,Dataset!F:F,'retorno absoluto'!$D$11,Dataset!AH:AH,"bono de gobierno",Dataset!T:T,"REA",Dataset!J:J,"&lt;"&amp;$D78,Dataset!J:J,"&gt;="&amp;$C78)</f>
        <v>0</v>
      </c>
      <c r="X78" s="83">
        <f>SUMIFS(Dataset!AA:AA,Dataset!F:F,'retorno absoluto'!$D$11,Dataset!AH:AH,"bono de gobierno",Dataset!T:T,"sol",Dataset!J:J,"&lt;"&amp;$D78,Dataset!J:J,"&gt;="&amp;$C78)</f>
        <v>0</v>
      </c>
      <c r="Y78" s="83">
        <f>SUMIFS(Dataset!AA:AA,Dataset!F:F,'retorno absoluto'!$D$11,Dataset!AH:AH,"bono corporativo",Dataset!T:T,"$",Dataset!J:J,"&lt;"&amp;$D78,Dataset!J:J,"&gt;="&amp;$C78)</f>
        <v>0</v>
      </c>
      <c r="Z78" s="83">
        <f>SUMIFS(Dataset!AA:AA,Dataset!F:F,'retorno absoluto'!$D$11,Dataset!AH:AH,"bono corporativo",Dataset!T:T,"UF",Dataset!J:J,"&lt;"&amp;$D78,Dataset!J:J,"&gt;="&amp;$C78)</f>
        <v>0</v>
      </c>
      <c r="AA78" s="83">
        <f>SUMIFS(Dataset!AA:AA,Dataset!F:F,'retorno absoluto'!$D$11,Dataset!J:J,"&lt;"&amp;$D78,Dataset!J:J,"&gt;="&amp;$C78,Dataset!AH:AH,"&lt;&gt;bono corporativo",Dataset!AH:AH,"&lt;&gt;bono de gobierno",Dataset!AH:AH,"&lt;&gt;deposito")</f>
        <v>0</v>
      </c>
      <c r="AB78" s="84">
        <f t="shared" si="9"/>
        <v>0</v>
      </c>
      <c r="AC78" s="85">
        <f>SUMIFS(Dataset!H:H,Dataset!F:F,'retorno absoluto'!$D$11,Dataset!AH:AH,"deposito",Dataset!T:T,"$",Dataset!J:J,"&lt;"&amp;$D78,Dataset!J:J,"&gt;="&amp;$C78)*10</f>
        <v>0</v>
      </c>
      <c r="AD78" s="86">
        <f>SUMIFS(Dataset!H:H,Dataset!F:F,'retorno absoluto'!$D$11,Dataset!AH:AH,"deposito",Dataset!T:T,"UF",Dataset!J:J,"&lt;"&amp;$D78,Dataset!J:J,"&gt;="&amp;$C78)*10</f>
        <v>0</v>
      </c>
      <c r="AE78" s="86">
        <f>SUMIFS(Dataset!H:H,Dataset!F:F,'retorno absoluto'!$D$11,Dataset!AH:AH,"bono de gobierno",Dataset!T:T,"$",Dataset!J:J,"&lt;"&amp;$D78,Dataset!J:J,"&gt;="&amp;$C78)*10</f>
        <v>0</v>
      </c>
      <c r="AF78" s="86">
        <f>SUMIFS(Dataset!H:H,Dataset!F:F,'retorno absoluto'!$D$11,Dataset!AH:AH,"bono de gobierno",Dataset!T:T,"UF",Dataset!J:J,"&lt;"&amp;$D78,Dataset!J:J,"&gt;="&amp;$C78)*10</f>
        <v>0</v>
      </c>
      <c r="AG78" s="86">
        <f>SUMIFS(Dataset!H:H,Dataset!F:F,'retorno absoluto'!$D$11,Dataset!AH:AH,"bono de gobierno",Dataset!T:T,"EU",Dataset!J:J,"&lt;"&amp;$D78,Dataset!J:J,"&gt;="&amp;$C78)*10</f>
        <v>0</v>
      </c>
      <c r="AH78" s="86">
        <f>SUMIFS(Dataset!H:H,Dataset!F:F,'retorno absoluto'!$D$11,Dataset!AH:AH,"bono de gobierno",Dataset!T:T,"MX",Dataset!J:J,"&lt;"&amp;$D78,Dataset!J:J,"&gt;="&amp;$C78)*10</f>
        <v>0</v>
      </c>
      <c r="AI78" s="86">
        <f>SUMIFS(Dataset!H:H,Dataset!F:F,'retorno absoluto'!$D$11,Dataset!AH:AH,"bono de gobierno",Dataset!T:T,"REA",Dataset!J:J,"&lt;"&amp;$D78,Dataset!J:J,"&gt;="&amp;$C78)*10</f>
        <v>0</v>
      </c>
      <c r="AJ78" s="86">
        <f>SUMIFS(Dataset!H:H,Dataset!F:F,'retorno absoluto'!$D$11,Dataset!AH:AH,"bono de gobierno",Dataset!T:T,"sol",Dataset!J:J,"&lt;"&amp;$D78,Dataset!J:J,"&gt;="&amp;$C78)*10</f>
        <v>0</v>
      </c>
      <c r="AK78" s="86">
        <f>SUMIFS(Dataset!H:H,Dataset!F:F,'retorno absoluto'!$D$11,Dataset!AH:AH,"bono corporativo",Dataset!T:T,"$",Dataset!J:J,"&lt;"&amp;$D78,Dataset!J:J,"&gt;="&amp;$C78)*10</f>
        <v>0</v>
      </c>
      <c r="AL78" s="86">
        <f>SUMIFS(Dataset!H:H,Dataset!F:F,'retorno absoluto'!$D$11,Dataset!AH:AH,"bono corporativo",Dataset!T:T,"UF",Dataset!J:J,"&lt;"&amp;$D78,Dataset!J:J,"&gt;="&amp;$C78)*10</f>
        <v>0</v>
      </c>
      <c r="AM78" s="86">
        <f>SUMIFS(Dataset!H:H,Dataset!F:F,'retorno absoluto'!$D$11,Dataset!J:J,"&lt;"&amp;$D78,Dataset!J:J,"&gt;="&amp;$C78,Dataset!AH:AH,"&lt;&gt;bono corporativo",Dataset!AH:AH,"&lt;&gt;bono de gobierno",Dataset!AH:AH,"&lt;&gt;deposito")*10</f>
        <v>0</v>
      </c>
      <c r="AN78" s="87">
        <f t="shared" si="10"/>
        <v>0</v>
      </c>
    </row>
    <row r="79" spans="2:40" ht="36" customHeight="1" x14ac:dyDescent="0.4">
      <c r="B79" s="95"/>
      <c r="C79" s="61">
        <v>4.5</v>
      </c>
      <c r="D79" s="81">
        <v>5.5</v>
      </c>
      <c r="E79" s="82">
        <f>SUMIFS(Dataset!AK:AK,Dataset!F:F,'retorno absoluto'!$D$11,Dataset!AH:AH,"deposito",Dataset!T:T,"$",Dataset!J:J,"&lt;"&amp;$D79,Dataset!J:J,"&gt;="&amp;$C79)</f>
        <v>0</v>
      </c>
      <c r="F79" s="83">
        <f>SUMIFS(Dataset!AK:AK,Dataset!F:F,'retorno absoluto'!$D$11,Dataset!AH:AH,"deposito",Dataset!T:T,"UF",Dataset!J:J,"&lt;"&amp;$D79,Dataset!J:J,"&gt;="&amp;$C79)</f>
        <v>0</v>
      </c>
      <c r="G79" s="83">
        <f>SUMIFS(Dataset!AK:AK,Dataset!F:F,'retorno absoluto'!$D$11,Dataset!AH:AH,"bono de gobierno",Dataset!T:T,"$",Dataset!J:J,"&lt;"&amp;$D79,Dataset!J:J,"&gt;="&amp;$C79)</f>
        <v>0</v>
      </c>
      <c r="H79" s="83">
        <f>SUMIFS(Dataset!AK:AK,Dataset!F:F,'retorno absoluto'!$D$11,Dataset!AH:AH,"bono de gobierno",Dataset!T:T,"UF",Dataset!J:J,"&lt;"&amp;$D79,Dataset!J:J,"&gt;="&amp;$C79)</f>
        <v>0</v>
      </c>
      <c r="I79" s="83">
        <f>SUMIFS(Dataset!AK:AK,Dataset!F:F,'retorno absoluto'!$D$11,Dataset!AH:AH,"bono de gobierno",Dataset!T:T,"eu",Dataset!J:J,"&lt;"&amp;$D79,Dataset!J:J,"&gt;="&amp;$C79)</f>
        <v>0</v>
      </c>
      <c r="J79" s="83">
        <f>SUMIFS(Dataset!AK:AK,Dataset!F:F,'retorno absoluto'!$D$11,Dataset!AH:AH,"bono de gobierno",Dataset!T:T,"mx",Dataset!J:J,"&lt;"&amp;$D79,Dataset!J:J,"&gt;="&amp;$C79)</f>
        <v>0</v>
      </c>
      <c r="K79" s="83">
        <f>SUMIFS(Dataset!AK:AK,Dataset!F:F,'retorno absoluto'!$D$11,Dataset!AH:AH,"bono de gobierno",Dataset!T:T,"rea",Dataset!J:J,"&lt;"&amp;$D79,Dataset!J:J,"&gt;="&amp;$C79)</f>
        <v>0</v>
      </c>
      <c r="L79" s="83">
        <f>SUMIFS(Dataset!AK:AK,Dataset!F:F,'retorno absoluto'!$D$11,Dataset!AH:AH,"bono de gobierno",Dataset!T:T,"sol",Dataset!J:J,"&lt;"&amp;$D79,Dataset!J:J,"&gt;="&amp;$C79)</f>
        <v>0</v>
      </c>
      <c r="M79" s="83">
        <f>SUMIFS(Dataset!AK:AK,Dataset!F:F,'retorno absoluto'!$D$11,Dataset!AH:AH,"bono corporativo",Dataset!T:T,"$",Dataset!J:J,"&lt;"&amp;$D79,Dataset!J:J,"&gt;="&amp;$C79)</f>
        <v>0</v>
      </c>
      <c r="N79" s="83">
        <f>SUMIFS(Dataset!AK:AK,Dataset!F:F,'retorno absoluto'!$D$11,Dataset!AH:AH,"bono corporativo",Dataset!T:T,"UF",Dataset!J:J,"&lt;"&amp;$D79,Dataset!J:J,"&gt;="&amp;$C79)</f>
        <v>0</v>
      </c>
      <c r="O79" s="83">
        <f>SUMIFS(Dataset!AK:AK,Dataset!F:F,'retorno absoluto'!$D$11,Dataset!J:J,"&lt;"&amp;$D79,Dataset!J:J,"&gt;="&amp;$C79,Dataset!AH:AH,"&lt;&gt;bono corporativo",Dataset!AH:AH,"&lt;&gt;bono de gobierno",Dataset!AH:AH,"&lt;&gt;deposito")</f>
        <v>0</v>
      </c>
      <c r="P79" s="84">
        <f t="shared" si="8"/>
        <v>0</v>
      </c>
      <c r="Q79" s="82">
        <f>SUMIFS(Dataset!AA:AA,Dataset!F:F,'retorno absoluto'!$D$11,Dataset!AH:AH,"deposito",Dataset!T:T,"$",Dataset!J:J,"&lt;"&amp;$D79,Dataset!J:J,"&gt;="&amp;$C79)</f>
        <v>0</v>
      </c>
      <c r="R79" s="83">
        <f>SUMIFS(Dataset!AA:AA,Dataset!F:F,'retorno absoluto'!$D$11,Dataset!AH:AH,"deposito",Dataset!T:T,"UF",Dataset!J:J,"&lt;"&amp;$D79,Dataset!J:J,"&gt;="&amp;$C79)</f>
        <v>0</v>
      </c>
      <c r="S79" s="83">
        <f>SUMIFS(Dataset!AA:AA,Dataset!F:F,'retorno absoluto'!$D$11,Dataset!AH:AH,"bono de gobierno",Dataset!T:T,"$",Dataset!J:J,"&lt;"&amp;$D79,Dataset!J:J,"&gt;="&amp;$C79)</f>
        <v>0</v>
      </c>
      <c r="T79" s="83">
        <f>SUMIFS(Dataset!AA:AA,Dataset!F:F,'retorno absoluto'!$D$11,Dataset!AH:AH,"bono de gobierno",Dataset!T:T,"UF",Dataset!J:J,"&lt;"&amp;$D79,Dataset!J:J,"&gt;="&amp;$C79)</f>
        <v>0</v>
      </c>
      <c r="U79" s="83">
        <f>SUMIFS(Dataset!AA:AA,Dataset!F:F,'retorno absoluto'!$D$11,Dataset!AH:AH,"bono de gobierno",Dataset!T:T,"EU",Dataset!J:J,"&lt;"&amp;$D79,Dataset!J:J,"&gt;="&amp;$C79)</f>
        <v>0</v>
      </c>
      <c r="V79" s="83">
        <f>SUMIFS(Dataset!AA:AA,Dataset!F:F,'retorno absoluto'!$D$11,Dataset!AH:AH,"bono de gobierno",Dataset!T:T,"MX",Dataset!J:J,"&lt;"&amp;$D79,Dataset!J:J,"&gt;="&amp;$C79)</f>
        <v>0</v>
      </c>
      <c r="W79" s="83">
        <f>SUMIFS(Dataset!AA:AA,Dataset!F:F,'retorno absoluto'!$D$11,Dataset!AH:AH,"bono de gobierno",Dataset!T:T,"REA",Dataset!J:J,"&lt;"&amp;$D79,Dataset!J:J,"&gt;="&amp;$C79)</f>
        <v>0</v>
      </c>
      <c r="X79" s="83">
        <f>SUMIFS(Dataset!AA:AA,Dataset!F:F,'retorno absoluto'!$D$11,Dataset!AH:AH,"bono de gobierno",Dataset!T:T,"sol",Dataset!J:J,"&lt;"&amp;$D79,Dataset!J:J,"&gt;="&amp;$C79)</f>
        <v>0</v>
      </c>
      <c r="Y79" s="83">
        <f>SUMIFS(Dataset!AA:AA,Dataset!F:F,'retorno absoluto'!$D$11,Dataset!AH:AH,"bono corporativo",Dataset!T:T,"$",Dataset!J:J,"&lt;"&amp;$D79,Dataset!J:J,"&gt;="&amp;$C79)</f>
        <v>0</v>
      </c>
      <c r="Z79" s="83">
        <f>SUMIFS(Dataset!AA:AA,Dataset!F:F,'retorno absoluto'!$D$11,Dataset!AH:AH,"bono corporativo",Dataset!T:T,"UF",Dataset!J:J,"&lt;"&amp;$D79,Dataset!J:J,"&gt;="&amp;$C79)</f>
        <v>0</v>
      </c>
      <c r="AA79" s="83">
        <f>SUMIFS(Dataset!AA:AA,Dataset!F:F,'retorno absoluto'!$D$11,Dataset!J:J,"&lt;"&amp;$D79,Dataset!J:J,"&gt;="&amp;$C79,Dataset!AH:AH,"&lt;&gt;bono corporativo",Dataset!AH:AH,"&lt;&gt;bono de gobierno",Dataset!AH:AH,"&lt;&gt;deposito")</f>
        <v>0</v>
      </c>
      <c r="AB79" s="84">
        <f t="shared" si="9"/>
        <v>0</v>
      </c>
      <c r="AC79" s="85">
        <f>SUMIFS(Dataset!H:H,Dataset!F:F,'retorno absoluto'!$D$11,Dataset!AH:AH,"deposito",Dataset!T:T,"$",Dataset!J:J,"&lt;"&amp;$D79,Dataset!J:J,"&gt;="&amp;$C79)*10</f>
        <v>0</v>
      </c>
      <c r="AD79" s="86">
        <f>SUMIFS(Dataset!H:H,Dataset!F:F,'retorno absoluto'!$D$11,Dataset!AH:AH,"deposito",Dataset!T:T,"UF",Dataset!J:J,"&lt;"&amp;$D79,Dataset!J:J,"&gt;="&amp;$C79)*10</f>
        <v>0</v>
      </c>
      <c r="AE79" s="86">
        <f>SUMIFS(Dataset!H:H,Dataset!F:F,'retorno absoluto'!$D$11,Dataset!AH:AH,"bono de gobierno",Dataset!T:T,"$",Dataset!J:J,"&lt;"&amp;$D79,Dataset!J:J,"&gt;="&amp;$C79)*10</f>
        <v>0</v>
      </c>
      <c r="AF79" s="86">
        <f>SUMIFS(Dataset!H:H,Dataset!F:F,'retorno absoluto'!$D$11,Dataset!AH:AH,"bono de gobierno",Dataset!T:T,"UF",Dataset!J:J,"&lt;"&amp;$D79,Dataset!J:J,"&gt;="&amp;$C79)*10</f>
        <v>0</v>
      </c>
      <c r="AG79" s="86">
        <f>SUMIFS(Dataset!H:H,Dataset!F:F,'retorno absoluto'!$D$11,Dataset!AH:AH,"bono de gobierno",Dataset!T:T,"EU",Dataset!J:J,"&lt;"&amp;$D79,Dataset!J:J,"&gt;="&amp;$C79)*10</f>
        <v>0</v>
      </c>
      <c r="AH79" s="86">
        <f>SUMIFS(Dataset!H:H,Dataset!F:F,'retorno absoluto'!$D$11,Dataset!AH:AH,"bono de gobierno",Dataset!T:T,"MX",Dataset!J:J,"&lt;"&amp;$D79,Dataset!J:J,"&gt;="&amp;$C79)*10</f>
        <v>0</v>
      </c>
      <c r="AI79" s="86">
        <f>SUMIFS(Dataset!H:H,Dataset!F:F,'retorno absoluto'!$D$11,Dataset!AH:AH,"bono de gobierno",Dataset!T:T,"REA",Dataset!J:J,"&lt;"&amp;$D79,Dataset!J:J,"&gt;="&amp;$C79)*10</f>
        <v>0</v>
      </c>
      <c r="AJ79" s="86">
        <f>SUMIFS(Dataset!H:H,Dataset!F:F,'retorno absoluto'!$D$11,Dataset!AH:AH,"bono de gobierno",Dataset!T:T,"sol",Dataset!J:J,"&lt;"&amp;$D79,Dataset!J:J,"&gt;="&amp;$C79)*10</f>
        <v>0</v>
      </c>
      <c r="AK79" s="86">
        <f>SUMIFS(Dataset!H:H,Dataset!F:F,'retorno absoluto'!$D$11,Dataset!AH:AH,"bono corporativo",Dataset!T:T,"$",Dataset!J:J,"&lt;"&amp;$D79,Dataset!J:J,"&gt;="&amp;$C79)*10</f>
        <v>0</v>
      </c>
      <c r="AL79" s="86">
        <f>SUMIFS(Dataset!H:H,Dataset!F:F,'retorno absoluto'!$D$11,Dataset!AH:AH,"bono corporativo",Dataset!T:T,"UF",Dataset!J:J,"&lt;"&amp;$D79,Dataset!J:J,"&gt;="&amp;$C79)*10</f>
        <v>0</v>
      </c>
      <c r="AM79" s="86">
        <f>SUMIFS(Dataset!H:H,Dataset!F:F,'retorno absoluto'!$D$11,Dataset!J:J,"&lt;"&amp;$D79,Dataset!J:J,"&gt;="&amp;$C79,Dataset!AH:AH,"&lt;&gt;bono corporativo",Dataset!AH:AH,"&lt;&gt;bono de gobierno",Dataset!AH:AH,"&lt;&gt;deposito")*10</f>
        <v>0</v>
      </c>
      <c r="AN79" s="87">
        <f t="shared" si="10"/>
        <v>0</v>
      </c>
    </row>
    <row r="80" spans="2:40" ht="36" customHeight="1" x14ac:dyDescent="0.3">
      <c r="B80" s="96"/>
      <c r="C80" s="61">
        <v>5.5</v>
      </c>
      <c r="D80" s="81">
        <v>6.5</v>
      </c>
      <c r="E80" s="82">
        <f>SUMIFS(Dataset!AK:AK,Dataset!F:F,'retorno absoluto'!$D$11,Dataset!AH:AH,"deposito",Dataset!T:T,"$",Dataset!J:J,"&lt;"&amp;$D80,Dataset!J:J,"&gt;="&amp;$C80)</f>
        <v>0</v>
      </c>
      <c r="F80" s="83">
        <f>SUMIFS(Dataset!AK:AK,Dataset!F:F,'retorno absoluto'!$D$11,Dataset!AH:AH,"deposito",Dataset!T:T,"UF",Dataset!J:J,"&lt;"&amp;$D80,Dataset!J:J,"&gt;="&amp;$C80)</f>
        <v>0</v>
      </c>
      <c r="G80" s="83">
        <f>SUMIFS(Dataset!AK:AK,Dataset!F:F,'retorno absoluto'!$D$11,Dataset!AH:AH,"bono de gobierno",Dataset!T:T,"$",Dataset!J:J,"&lt;"&amp;$D80,Dataset!J:J,"&gt;="&amp;$C80)</f>
        <v>0</v>
      </c>
      <c r="H80" s="83">
        <f>SUMIFS(Dataset!AK:AK,Dataset!F:F,'retorno absoluto'!$D$11,Dataset!AH:AH,"bono de gobierno",Dataset!T:T,"UF",Dataset!J:J,"&lt;"&amp;$D80,Dataset!J:J,"&gt;="&amp;$C80)</f>
        <v>0</v>
      </c>
      <c r="I80" s="83">
        <f>SUMIFS(Dataset!AK:AK,Dataset!F:F,'retorno absoluto'!$D$11,Dataset!AH:AH,"bono de gobierno",Dataset!T:T,"eu",Dataset!J:J,"&lt;"&amp;$D80,Dataset!J:J,"&gt;="&amp;$C80)</f>
        <v>0</v>
      </c>
      <c r="J80" s="83">
        <f>SUMIFS(Dataset!AK:AK,Dataset!F:F,'retorno absoluto'!$D$11,Dataset!AH:AH,"bono de gobierno",Dataset!T:T,"mx",Dataset!J:J,"&lt;"&amp;$D80,Dataset!J:J,"&gt;="&amp;$C80)</f>
        <v>0</v>
      </c>
      <c r="K80" s="83">
        <f>SUMIFS(Dataset!AK:AK,Dataset!F:F,'retorno absoluto'!$D$11,Dataset!AH:AH,"bono de gobierno",Dataset!T:T,"rea",Dataset!J:J,"&lt;"&amp;$D80,Dataset!J:J,"&gt;="&amp;$C80)</f>
        <v>0</v>
      </c>
      <c r="L80" s="83">
        <f>SUMIFS(Dataset!AK:AK,Dataset!F:F,'retorno absoluto'!$D$11,Dataset!AH:AH,"bono de gobierno",Dataset!T:T,"sol",Dataset!J:J,"&lt;"&amp;$D80,Dataset!J:J,"&gt;="&amp;$C80)</f>
        <v>0</v>
      </c>
      <c r="M80" s="83">
        <f>SUMIFS(Dataset!AK:AK,Dataset!F:F,'retorno absoluto'!$D$11,Dataset!AH:AH,"bono corporativo",Dataset!T:T,"$",Dataset!J:J,"&lt;"&amp;$D80,Dataset!J:J,"&gt;="&amp;$C80)</f>
        <v>0</v>
      </c>
      <c r="N80" s="83">
        <f>SUMIFS(Dataset!AK:AK,Dataset!F:F,'retorno absoluto'!$D$11,Dataset!AH:AH,"bono corporativo",Dataset!T:T,"UF",Dataset!J:J,"&lt;"&amp;$D80,Dataset!J:J,"&gt;="&amp;$C80)</f>
        <v>0</v>
      </c>
      <c r="O80" s="83">
        <f>SUMIFS(Dataset!AK:AK,Dataset!F:F,'retorno absoluto'!$D$11,Dataset!J:J,"&lt;"&amp;$D80,Dataset!J:J,"&gt;="&amp;$C80,Dataset!AH:AH,"&lt;&gt;bono corporativo",Dataset!AH:AH,"&lt;&gt;bono de gobierno",Dataset!AH:AH,"&lt;&gt;deposito")</f>
        <v>0</v>
      </c>
      <c r="P80" s="84">
        <f t="shared" si="8"/>
        <v>0</v>
      </c>
      <c r="Q80" s="82">
        <f>SUMIFS(Dataset!AA:AA,Dataset!F:F,'retorno absoluto'!$D$11,Dataset!AH:AH,"deposito",Dataset!T:T,"$",Dataset!J:J,"&lt;"&amp;$D80,Dataset!J:J,"&gt;="&amp;$C80)</f>
        <v>0</v>
      </c>
      <c r="R80" s="83">
        <f>SUMIFS(Dataset!AA:AA,Dataset!F:F,'retorno absoluto'!$D$11,Dataset!AH:AH,"deposito",Dataset!T:T,"UF",Dataset!J:J,"&lt;"&amp;$D80,Dataset!J:J,"&gt;="&amp;$C80)</f>
        <v>0</v>
      </c>
      <c r="S80" s="83">
        <f>SUMIFS(Dataset!AA:AA,Dataset!F:F,'retorno absoluto'!$D$11,Dataset!AH:AH,"bono de gobierno",Dataset!T:T,"$",Dataset!J:J,"&lt;"&amp;$D80,Dataset!J:J,"&gt;="&amp;$C80)</f>
        <v>0</v>
      </c>
      <c r="T80" s="83">
        <f>SUMIFS(Dataset!AA:AA,Dataset!F:F,'retorno absoluto'!$D$11,Dataset!AH:AH,"bono de gobierno",Dataset!T:T,"UF",Dataset!J:J,"&lt;"&amp;$D80,Dataset!J:J,"&gt;="&amp;$C80)</f>
        <v>0</v>
      </c>
      <c r="U80" s="83">
        <f>SUMIFS(Dataset!AA:AA,Dataset!F:F,'retorno absoluto'!$D$11,Dataset!AH:AH,"bono de gobierno",Dataset!T:T,"EU",Dataset!J:J,"&lt;"&amp;$D80,Dataset!J:J,"&gt;="&amp;$C80)</f>
        <v>0</v>
      </c>
      <c r="V80" s="83">
        <f>SUMIFS(Dataset!AA:AA,Dataset!F:F,'retorno absoluto'!$D$11,Dataset!AH:AH,"bono de gobierno",Dataset!T:T,"MX",Dataset!J:J,"&lt;"&amp;$D80,Dataset!J:J,"&gt;="&amp;$C80)</f>
        <v>0</v>
      </c>
      <c r="W80" s="83">
        <f>SUMIFS(Dataset!AA:AA,Dataset!F:F,'retorno absoluto'!$D$11,Dataset!AH:AH,"bono de gobierno",Dataset!T:T,"REA",Dataset!J:J,"&lt;"&amp;$D80,Dataset!J:J,"&gt;="&amp;$C80)</f>
        <v>0</v>
      </c>
      <c r="X80" s="83">
        <f>SUMIFS(Dataset!AA:AA,Dataset!F:F,'retorno absoluto'!$D$11,Dataset!AH:AH,"bono de gobierno",Dataset!T:T,"sol",Dataset!J:J,"&lt;"&amp;$D80,Dataset!J:J,"&gt;="&amp;$C80)</f>
        <v>0</v>
      </c>
      <c r="Y80" s="83">
        <f>SUMIFS(Dataset!AA:AA,Dataset!F:F,'retorno absoluto'!$D$11,Dataset!AH:AH,"bono corporativo",Dataset!T:T,"$",Dataset!J:J,"&lt;"&amp;$D80,Dataset!J:J,"&gt;="&amp;$C80)</f>
        <v>0</v>
      </c>
      <c r="Z80" s="83">
        <f>SUMIFS(Dataset!AA:AA,Dataset!F:F,'retorno absoluto'!$D$11,Dataset!AH:AH,"bono corporativo",Dataset!T:T,"UF",Dataset!J:J,"&lt;"&amp;$D80,Dataset!J:J,"&gt;="&amp;$C80)</f>
        <v>0</v>
      </c>
      <c r="AA80" s="83">
        <f>SUMIFS(Dataset!AA:AA,Dataset!F:F,'retorno absoluto'!$D$11,Dataset!J:J,"&lt;"&amp;$D80,Dataset!J:J,"&gt;="&amp;$C80,Dataset!AH:AH,"&lt;&gt;bono corporativo",Dataset!AH:AH,"&lt;&gt;bono de gobierno",Dataset!AH:AH,"&lt;&gt;deposito")</f>
        <v>0</v>
      </c>
      <c r="AB80" s="84">
        <f t="shared" si="9"/>
        <v>0</v>
      </c>
      <c r="AC80" s="85">
        <f>SUMIFS(Dataset!H:H,Dataset!F:F,'retorno absoluto'!$D$11,Dataset!AH:AH,"deposito",Dataset!T:T,"$",Dataset!J:J,"&lt;"&amp;$D80,Dataset!J:J,"&gt;="&amp;$C80)*10</f>
        <v>0</v>
      </c>
      <c r="AD80" s="86">
        <f>SUMIFS(Dataset!H:H,Dataset!F:F,'retorno absoluto'!$D$11,Dataset!AH:AH,"deposito",Dataset!T:T,"UF",Dataset!J:J,"&lt;"&amp;$D80,Dataset!J:J,"&gt;="&amp;$C80)*10</f>
        <v>0</v>
      </c>
      <c r="AE80" s="86">
        <f>SUMIFS(Dataset!H:H,Dataset!F:F,'retorno absoluto'!$D$11,Dataset!AH:AH,"bono de gobierno",Dataset!T:T,"$",Dataset!J:J,"&lt;"&amp;$D80,Dataset!J:J,"&gt;="&amp;$C80)*10</f>
        <v>0</v>
      </c>
      <c r="AF80" s="86">
        <f>SUMIFS(Dataset!H:H,Dataset!F:F,'retorno absoluto'!$D$11,Dataset!AH:AH,"bono de gobierno",Dataset!T:T,"UF",Dataset!J:J,"&lt;"&amp;$D80,Dataset!J:J,"&gt;="&amp;$C80)*10</f>
        <v>0</v>
      </c>
      <c r="AG80" s="86">
        <f>SUMIFS(Dataset!H:H,Dataset!F:F,'retorno absoluto'!$D$11,Dataset!AH:AH,"bono de gobierno",Dataset!T:T,"EU",Dataset!J:J,"&lt;"&amp;$D80,Dataset!J:J,"&gt;="&amp;$C80)*10</f>
        <v>0</v>
      </c>
      <c r="AH80" s="86">
        <f>SUMIFS(Dataset!H:H,Dataset!F:F,'retorno absoluto'!$D$11,Dataset!AH:AH,"bono de gobierno",Dataset!T:T,"MX",Dataset!J:J,"&lt;"&amp;$D80,Dataset!J:J,"&gt;="&amp;$C80)*10</f>
        <v>0</v>
      </c>
      <c r="AI80" s="86">
        <f>SUMIFS(Dataset!H:H,Dataset!F:F,'retorno absoluto'!$D$11,Dataset!AH:AH,"bono de gobierno",Dataset!T:T,"REA",Dataset!J:J,"&lt;"&amp;$D80,Dataset!J:J,"&gt;="&amp;$C80)*10</f>
        <v>0</v>
      </c>
      <c r="AJ80" s="86">
        <f>SUMIFS(Dataset!H:H,Dataset!F:F,'retorno absoluto'!$D$11,Dataset!AH:AH,"bono de gobierno",Dataset!T:T,"sol",Dataset!J:J,"&lt;"&amp;$D80,Dataset!J:J,"&gt;="&amp;$C80)*10</f>
        <v>0</v>
      </c>
      <c r="AK80" s="86">
        <f>SUMIFS(Dataset!H:H,Dataset!F:F,'retorno absoluto'!$D$11,Dataset!AH:AH,"bono corporativo",Dataset!T:T,"$",Dataset!J:J,"&lt;"&amp;$D80,Dataset!J:J,"&gt;="&amp;$C80)*10</f>
        <v>0</v>
      </c>
      <c r="AL80" s="86">
        <f>SUMIFS(Dataset!H:H,Dataset!F:F,'retorno absoluto'!$D$11,Dataset!AH:AH,"bono corporativo",Dataset!T:T,"UF",Dataset!J:J,"&lt;"&amp;$D80,Dataset!J:J,"&gt;="&amp;$C80)*10</f>
        <v>0</v>
      </c>
      <c r="AM80" s="86">
        <f>SUMIFS(Dataset!H:H,Dataset!F:F,'retorno absoluto'!$D$11,Dataset!J:J,"&lt;"&amp;$D80,Dataset!J:J,"&gt;="&amp;$C80,Dataset!AH:AH,"&lt;&gt;bono corporativo",Dataset!AH:AH,"&lt;&gt;bono de gobierno",Dataset!AH:AH,"&lt;&gt;deposito")*10</f>
        <v>0</v>
      </c>
      <c r="AN80" s="87">
        <f t="shared" si="10"/>
        <v>0</v>
      </c>
    </row>
    <row r="81" spans="3:40" ht="27" customHeight="1" x14ac:dyDescent="0.3">
      <c r="C81" s="61">
        <v>6.5</v>
      </c>
      <c r="D81" s="81">
        <v>7.5</v>
      </c>
      <c r="E81" s="82">
        <f>SUMIFS(Dataset!AK:AK,Dataset!F:F,'retorno absoluto'!$D$11,Dataset!AH:AH,"deposito",Dataset!T:T,"$",Dataset!J:J,"&lt;"&amp;$D81,Dataset!J:J,"&gt;="&amp;$C81)</f>
        <v>0</v>
      </c>
      <c r="F81" s="83">
        <f>SUMIFS(Dataset!AK:AK,Dataset!F:F,'retorno absoluto'!$D$11,Dataset!AH:AH,"deposito",Dataset!T:T,"UF",Dataset!J:J,"&lt;"&amp;$D81,Dataset!J:J,"&gt;="&amp;$C81)</f>
        <v>0</v>
      </c>
      <c r="G81" s="83">
        <f>SUMIFS(Dataset!AK:AK,Dataset!F:F,'retorno absoluto'!$D$11,Dataset!AH:AH,"bono de gobierno",Dataset!T:T,"$",Dataset!J:J,"&lt;"&amp;$D81,Dataset!J:J,"&gt;="&amp;$C81)</f>
        <v>0</v>
      </c>
      <c r="H81" s="83">
        <f>SUMIFS(Dataset!AK:AK,Dataset!F:F,'retorno absoluto'!$D$11,Dataset!AH:AH,"bono de gobierno",Dataset!T:T,"UF",Dataset!J:J,"&lt;"&amp;$D81,Dataset!J:J,"&gt;="&amp;$C81)</f>
        <v>0</v>
      </c>
      <c r="I81" s="83">
        <f>SUMIFS(Dataset!AK:AK,Dataset!F:F,'retorno absoluto'!$D$11,Dataset!AH:AH,"bono de gobierno",Dataset!T:T,"eu",Dataset!J:J,"&lt;"&amp;$D81,Dataset!J:J,"&gt;="&amp;$C81)</f>
        <v>0</v>
      </c>
      <c r="J81" s="83">
        <f>SUMIFS(Dataset!AK:AK,Dataset!F:F,'retorno absoluto'!$D$11,Dataset!AH:AH,"bono de gobierno",Dataset!T:T,"mx",Dataset!J:J,"&lt;"&amp;$D81,Dataset!J:J,"&gt;="&amp;$C81)</f>
        <v>0</v>
      </c>
      <c r="K81" s="83">
        <f>SUMIFS(Dataset!AK:AK,Dataset!F:F,'retorno absoluto'!$D$11,Dataset!AH:AH,"bono de gobierno",Dataset!T:T,"rea",Dataset!J:J,"&lt;"&amp;$D81,Dataset!J:J,"&gt;="&amp;$C81)</f>
        <v>0</v>
      </c>
      <c r="L81" s="83">
        <f>SUMIFS(Dataset!AK:AK,Dataset!F:F,'retorno absoluto'!$D$11,Dataset!AH:AH,"bono de gobierno",Dataset!T:T,"sol",Dataset!J:J,"&lt;"&amp;$D81,Dataset!J:J,"&gt;="&amp;$C81)</f>
        <v>0</v>
      </c>
      <c r="M81" s="83">
        <f>SUMIFS(Dataset!AK:AK,Dataset!F:F,'retorno absoluto'!$D$11,Dataset!AH:AH,"bono corporativo",Dataset!T:T,"$",Dataset!J:J,"&lt;"&amp;$D81,Dataset!J:J,"&gt;="&amp;$C81)</f>
        <v>0</v>
      </c>
      <c r="N81" s="83">
        <f>SUMIFS(Dataset!AK:AK,Dataset!F:F,'retorno absoluto'!$D$11,Dataset!AH:AH,"bono corporativo",Dataset!T:T,"UF",Dataset!J:J,"&lt;"&amp;$D81,Dataset!J:J,"&gt;="&amp;$C81)</f>
        <v>0</v>
      </c>
      <c r="O81" s="83">
        <f>SUMIFS(Dataset!AK:AK,Dataset!F:F,'retorno absoluto'!$D$11,Dataset!J:J,"&lt;"&amp;$D81,Dataset!J:J,"&gt;="&amp;$C81,Dataset!AH:AH,"&lt;&gt;bono corporativo",Dataset!AH:AH,"&lt;&gt;bono de gobierno",Dataset!AH:AH,"&lt;&gt;deposito")</f>
        <v>0</v>
      </c>
      <c r="P81" s="84">
        <f t="shared" si="8"/>
        <v>0</v>
      </c>
      <c r="Q81" s="82">
        <f>SUMIFS(Dataset!AA:AA,Dataset!F:F,'retorno absoluto'!$D$11,Dataset!AH:AH,"deposito",Dataset!T:T,"$",Dataset!J:J,"&lt;"&amp;$D81,Dataset!J:J,"&gt;="&amp;$C81)</f>
        <v>0</v>
      </c>
      <c r="R81" s="83">
        <f>SUMIFS(Dataset!AA:AA,Dataset!F:F,'retorno absoluto'!$D$11,Dataset!AH:AH,"deposito",Dataset!T:T,"UF",Dataset!J:J,"&lt;"&amp;$D81,Dataset!J:J,"&gt;="&amp;$C81)</f>
        <v>0</v>
      </c>
      <c r="S81" s="83">
        <f>SUMIFS(Dataset!AA:AA,Dataset!F:F,'retorno absoluto'!$D$11,Dataset!AH:AH,"bono de gobierno",Dataset!T:T,"$",Dataset!J:J,"&lt;"&amp;$D81,Dataset!J:J,"&gt;="&amp;$C81)</f>
        <v>0</v>
      </c>
      <c r="T81" s="83">
        <f>SUMIFS(Dataset!AA:AA,Dataset!F:F,'retorno absoluto'!$D$11,Dataset!AH:AH,"bono de gobierno",Dataset!T:T,"UF",Dataset!J:J,"&lt;"&amp;$D81,Dataset!J:J,"&gt;="&amp;$C81)</f>
        <v>0</v>
      </c>
      <c r="U81" s="83">
        <f>SUMIFS(Dataset!AA:AA,Dataset!F:F,'retorno absoluto'!$D$11,Dataset!AH:AH,"bono de gobierno",Dataset!T:T,"EU",Dataset!J:J,"&lt;"&amp;$D81,Dataset!J:J,"&gt;="&amp;$C81)</f>
        <v>0</v>
      </c>
      <c r="V81" s="83">
        <f>SUMIFS(Dataset!AA:AA,Dataset!F:F,'retorno absoluto'!$D$11,Dataset!AH:AH,"bono de gobierno",Dataset!T:T,"MX",Dataset!J:J,"&lt;"&amp;$D81,Dataset!J:J,"&gt;="&amp;$C81)</f>
        <v>0</v>
      </c>
      <c r="W81" s="83">
        <f>SUMIFS(Dataset!AA:AA,Dataset!F:F,'retorno absoluto'!$D$11,Dataset!AH:AH,"bono de gobierno",Dataset!T:T,"REA",Dataset!J:J,"&lt;"&amp;$D81,Dataset!J:J,"&gt;="&amp;$C81)</f>
        <v>0</v>
      </c>
      <c r="X81" s="83">
        <f>SUMIFS(Dataset!AA:AA,Dataset!F:F,'retorno absoluto'!$D$11,Dataset!AH:AH,"bono de gobierno",Dataset!T:T,"sol",Dataset!J:J,"&lt;"&amp;$D81,Dataset!J:J,"&gt;="&amp;$C81)</f>
        <v>0</v>
      </c>
      <c r="Y81" s="83">
        <f>SUMIFS(Dataset!AA:AA,Dataset!F:F,'retorno absoluto'!$D$11,Dataset!AH:AH,"bono corporativo",Dataset!T:T,"$",Dataset!J:J,"&lt;"&amp;$D81,Dataset!J:J,"&gt;="&amp;$C81)</f>
        <v>0</v>
      </c>
      <c r="Z81" s="83">
        <f>SUMIFS(Dataset!AA:AA,Dataset!F:F,'retorno absoluto'!$D$11,Dataset!AH:AH,"bono corporativo",Dataset!T:T,"UF",Dataset!J:J,"&lt;"&amp;$D81,Dataset!J:J,"&gt;="&amp;$C81)</f>
        <v>0</v>
      </c>
      <c r="AA81" s="83">
        <f>SUMIFS(Dataset!AA:AA,Dataset!F:F,'retorno absoluto'!$D$11,Dataset!J:J,"&lt;"&amp;$D81,Dataset!J:J,"&gt;="&amp;$C81,Dataset!AH:AH,"&lt;&gt;bono corporativo",Dataset!AH:AH,"&lt;&gt;bono de gobierno",Dataset!AH:AH,"&lt;&gt;deposito")</f>
        <v>0</v>
      </c>
      <c r="AB81" s="84">
        <f t="shared" si="9"/>
        <v>0</v>
      </c>
      <c r="AC81" s="85">
        <f>SUMIFS(Dataset!H:H,Dataset!F:F,'retorno absoluto'!$D$11,Dataset!AH:AH,"deposito",Dataset!T:T,"$",Dataset!J:J,"&lt;"&amp;$D81,Dataset!J:J,"&gt;="&amp;$C81)*10</f>
        <v>0</v>
      </c>
      <c r="AD81" s="86">
        <f>SUMIFS(Dataset!H:H,Dataset!F:F,'retorno absoluto'!$D$11,Dataset!AH:AH,"deposito",Dataset!T:T,"UF",Dataset!J:J,"&lt;"&amp;$D81,Dataset!J:J,"&gt;="&amp;$C81)*10</f>
        <v>0</v>
      </c>
      <c r="AE81" s="86">
        <f>SUMIFS(Dataset!H:H,Dataset!F:F,'retorno absoluto'!$D$11,Dataset!AH:AH,"bono de gobierno",Dataset!T:T,"$",Dataset!J:J,"&lt;"&amp;$D81,Dataset!J:J,"&gt;="&amp;$C81)*10</f>
        <v>0</v>
      </c>
      <c r="AF81" s="86">
        <f>SUMIFS(Dataset!H:H,Dataset!F:F,'retorno absoluto'!$D$11,Dataset!AH:AH,"bono de gobierno",Dataset!T:T,"UF",Dataset!J:J,"&lt;"&amp;$D81,Dataset!J:J,"&gt;="&amp;$C81)*10</f>
        <v>0</v>
      </c>
      <c r="AG81" s="86">
        <f>SUMIFS(Dataset!H:H,Dataset!F:F,'retorno absoluto'!$D$11,Dataset!AH:AH,"bono de gobierno",Dataset!T:T,"EU",Dataset!J:J,"&lt;"&amp;$D81,Dataset!J:J,"&gt;="&amp;$C81)*10</f>
        <v>0</v>
      </c>
      <c r="AH81" s="86">
        <f>SUMIFS(Dataset!H:H,Dataset!F:F,'retorno absoluto'!$D$11,Dataset!AH:AH,"bono de gobierno",Dataset!T:T,"MX",Dataset!J:J,"&lt;"&amp;$D81,Dataset!J:J,"&gt;="&amp;$C81)*10</f>
        <v>0</v>
      </c>
      <c r="AI81" s="86">
        <f>SUMIFS(Dataset!H:H,Dataset!F:F,'retorno absoluto'!$D$11,Dataset!AH:AH,"bono de gobierno",Dataset!T:T,"REA",Dataset!J:J,"&lt;"&amp;$D81,Dataset!J:J,"&gt;="&amp;$C81)*10</f>
        <v>0</v>
      </c>
      <c r="AJ81" s="86">
        <f>SUMIFS(Dataset!H:H,Dataset!F:F,'retorno absoluto'!$D$11,Dataset!AH:AH,"bono de gobierno",Dataset!T:T,"sol",Dataset!J:J,"&lt;"&amp;$D81,Dataset!J:J,"&gt;="&amp;$C81)*10</f>
        <v>0</v>
      </c>
      <c r="AK81" s="86">
        <f>SUMIFS(Dataset!H:H,Dataset!F:F,'retorno absoluto'!$D$11,Dataset!AH:AH,"bono corporativo",Dataset!T:T,"$",Dataset!J:J,"&lt;"&amp;$D81,Dataset!J:J,"&gt;="&amp;$C81)*10</f>
        <v>0</v>
      </c>
      <c r="AL81" s="86">
        <f>SUMIFS(Dataset!H:H,Dataset!F:F,'retorno absoluto'!$D$11,Dataset!AH:AH,"bono corporativo",Dataset!T:T,"UF",Dataset!J:J,"&lt;"&amp;$D81,Dataset!J:J,"&gt;="&amp;$C81)*10</f>
        <v>0</v>
      </c>
      <c r="AM81" s="86">
        <f>SUMIFS(Dataset!H:H,Dataset!F:F,'retorno absoluto'!$D$11,Dataset!J:J,"&lt;"&amp;$D81,Dataset!J:J,"&gt;="&amp;$C81,Dataset!AH:AH,"&lt;&gt;bono corporativo",Dataset!AH:AH,"&lt;&gt;bono de gobierno",Dataset!AH:AH,"&lt;&gt;deposito")*10</f>
        <v>0</v>
      </c>
      <c r="AN81" s="87">
        <f t="shared" si="10"/>
        <v>0</v>
      </c>
    </row>
    <row r="82" spans="3:40" ht="27" customHeight="1" x14ac:dyDescent="0.3">
      <c r="C82" s="61">
        <v>7.5</v>
      </c>
      <c r="D82" s="81">
        <v>8.5</v>
      </c>
      <c r="E82" s="82">
        <f>SUMIFS(Dataset!AK:AK,Dataset!F:F,'retorno absoluto'!$D$11,Dataset!AH:AH,"deposito",Dataset!T:T,"$",Dataset!J:J,"&lt;"&amp;$D82,Dataset!J:J,"&gt;="&amp;$C82)</f>
        <v>0</v>
      </c>
      <c r="F82" s="83">
        <f>SUMIFS(Dataset!AK:AK,Dataset!F:F,'retorno absoluto'!$D$11,Dataset!AH:AH,"deposito",Dataset!T:T,"UF",Dataset!J:J,"&lt;"&amp;$D82,Dataset!J:J,"&gt;="&amp;$C82)</f>
        <v>0</v>
      </c>
      <c r="G82" s="83">
        <f>SUMIFS(Dataset!AK:AK,Dataset!F:F,'retorno absoluto'!$D$11,Dataset!AH:AH,"bono de gobierno",Dataset!T:T,"$",Dataset!J:J,"&lt;"&amp;$D82,Dataset!J:J,"&gt;="&amp;$C82)</f>
        <v>0</v>
      </c>
      <c r="H82" s="83">
        <f>SUMIFS(Dataset!AK:AK,Dataset!F:F,'retorno absoluto'!$D$11,Dataset!AH:AH,"bono de gobierno",Dataset!T:T,"UF",Dataset!J:J,"&lt;"&amp;$D82,Dataset!J:J,"&gt;="&amp;$C82)</f>
        <v>0</v>
      </c>
      <c r="I82" s="83">
        <f>SUMIFS(Dataset!AK:AK,Dataset!F:F,'retorno absoluto'!$D$11,Dataset!AH:AH,"bono de gobierno",Dataset!T:T,"eu",Dataset!J:J,"&lt;"&amp;$D82,Dataset!J:J,"&gt;="&amp;$C82)</f>
        <v>0</v>
      </c>
      <c r="J82" s="83">
        <f>SUMIFS(Dataset!AK:AK,Dataset!F:F,'retorno absoluto'!$D$11,Dataset!AH:AH,"bono de gobierno",Dataset!T:T,"mx",Dataset!J:J,"&lt;"&amp;$D82,Dataset!J:J,"&gt;="&amp;$C82)</f>
        <v>0</v>
      </c>
      <c r="K82" s="83">
        <f>SUMIFS(Dataset!AK:AK,Dataset!F:F,'retorno absoluto'!$D$11,Dataset!AH:AH,"bono de gobierno",Dataset!T:T,"rea",Dataset!J:J,"&lt;"&amp;$D82,Dataset!J:J,"&gt;="&amp;$C82)</f>
        <v>0</v>
      </c>
      <c r="L82" s="83">
        <f>SUMIFS(Dataset!AK:AK,Dataset!F:F,'retorno absoluto'!$D$11,Dataset!AH:AH,"bono de gobierno",Dataset!T:T,"sol",Dataset!J:J,"&lt;"&amp;$D82,Dataset!J:J,"&gt;="&amp;$C82)</f>
        <v>0</v>
      </c>
      <c r="M82" s="83">
        <f>SUMIFS(Dataset!AK:AK,Dataset!F:F,'retorno absoluto'!$D$11,Dataset!AH:AH,"bono corporativo",Dataset!T:T,"$",Dataset!J:J,"&lt;"&amp;$D82,Dataset!J:J,"&gt;="&amp;$C82)</f>
        <v>0</v>
      </c>
      <c r="N82" s="83">
        <f>SUMIFS(Dataset!AK:AK,Dataset!F:F,'retorno absoluto'!$D$11,Dataset!AH:AH,"bono corporativo",Dataset!T:T,"UF",Dataset!J:J,"&lt;"&amp;$D82,Dataset!J:J,"&gt;="&amp;$C82)</f>
        <v>0</v>
      </c>
      <c r="O82" s="83">
        <f>SUMIFS(Dataset!AK:AK,Dataset!F:F,'retorno absoluto'!$D$11,Dataset!J:J,"&lt;"&amp;$D82,Dataset!J:J,"&gt;="&amp;$C82,Dataset!AH:AH,"&lt;&gt;bono corporativo",Dataset!AH:AH,"&lt;&gt;bono de gobierno",Dataset!AH:AH,"&lt;&gt;deposito")</f>
        <v>0</v>
      </c>
      <c r="P82" s="84">
        <f t="shared" si="8"/>
        <v>0</v>
      </c>
      <c r="Q82" s="82">
        <f>SUMIFS(Dataset!AA:AA,Dataset!F:F,'retorno absoluto'!$D$11,Dataset!AH:AH,"deposito",Dataset!T:T,"$",Dataset!J:J,"&lt;"&amp;$D82,Dataset!J:J,"&gt;="&amp;$C82)</f>
        <v>0</v>
      </c>
      <c r="R82" s="83">
        <f>SUMIFS(Dataset!AA:AA,Dataset!F:F,'retorno absoluto'!$D$11,Dataset!AH:AH,"deposito",Dataset!T:T,"UF",Dataset!J:J,"&lt;"&amp;$D82,Dataset!J:J,"&gt;="&amp;$C82)</f>
        <v>0</v>
      </c>
      <c r="S82" s="83">
        <f>SUMIFS(Dataset!AA:AA,Dataset!F:F,'retorno absoluto'!$D$11,Dataset!AH:AH,"bono de gobierno",Dataset!T:T,"$",Dataset!J:J,"&lt;"&amp;$D82,Dataset!J:J,"&gt;="&amp;$C82)</f>
        <v>0</v>
      </c>
      <c r="T82" s="83">
        <f>SUMIFS(Dataset!AA:AA,Dataset!F:F,'retorno absoluto'!$D$11,Dataset!AH:AH,"bono de gobierno",Dataset!T:T,"UF",Dataset!J:J,"&lt;"&amp;$D82,Dataset!J:J,"&gt;="&amp;$C82)</f>
        <v>0</v>
      </c>
      <c r="U82" s="83">
        <f>SUMIFS(Dataset!AA:AA,Dataset!F:F,'retorno absoluto'!$D$11,Dataset!AH:AH,"bono de gobierno",Dataset!T:T,"EU",Dataset!J:J,"&lt;"&amp;$D82,Dataset!J:J,"&gt;="&amp;$C82)</f>
        <v>0</v>
      </c>
      <c r="V82" s="83">
        <f>SUMIFS(Dataset!AA:AA,Dataset!F:F,'retorno absoluto'!$D$11,Dataset!AH:AH,"bono de gobierno",Dataset!T:T,"MX",Dataset!J:J,"&lt;"&amp;$D82,Dataset!J:J,"&gt;="&amp;$C82)</f>
        <v>0</v>
      </c>
      <c r="W82" s="83">
        <f>SUMIFS(Dataset!AA:AA,Dataset!F:F,'retorno absoluto'!$D$11,Dataset!AH:AH,"bono de gobierno",Dataset!T:T,"REA",Dataset!J:J,"&lt;"&amp;$D82,Dataset!J:J,"&gt;="&amp;$C82)</f>
        <v>0</v>
      </c>
      <c r="X82" s="83">
        <f>SUMIFS(Dataset!AA:AA,Dataset!F:F,'retorno absoluto'!$D$11,Dataset!AH:AH,"bono de gobierno",Dataset!T:T,"sol",Dataset!J:J,"&lt;"&amp;$D82,Dataset!J:J,"&gt;="&amp;$C82)</f>
        <v>0</v>
      </c>
      <c r="Y82" s="83">
        <f>SUMIFS(Dataset!AA:AA,Dataset!F:F,'retorno absoluto'!$D$11,Dataset!AH:AH,"bono corporativo",Dataset!T:T,"$",Dataset!J:J,"&lt;"&amp;$D82,Dataset!J:J,"&gt;="&amp;$C82)</f>
        <v>0</v>
      </c>
      <c r="Z82" s="83">
        <f>SUMIFS(Dataset!AA:AA,Dataset!F:F,'retorno absoluto'!$D$11,Dataset!AH:AH,"bono corporativo",Dataset!T:T,"UF",Dataset!J:J,"&lt;"&amp;$D82,Dataset!J:J,"&gt;="&amp;$C82)</f>
        <v>0</v>
      </c>
      <c r="AA82" s="83">
        <f>SUMIFS(Dataset!AA:AA,Dataset!F:F,'retorno absoluto'!$D$11,Dataset!J:J,"&lt;"&amp;$D82,Dataset!J:J,"&gt;="&amp;$C82,Dataset!AH:AH,"&lt;&gt;bono corporativo",Dataset!AH:AH,"&lt;&gt;bono de gobierno",Dataset!AH:AH,"&lt;&gt;deposito")</f>
        <v>0</v>
      </c>
      <c r="AB82" s="84">
        <f t="shared" si="9"/>
        <v>0</v>
      </c>
      <c r="AC82" s="85">
        <f>SUMIFS(Dataset!H:H,Dataset!F:F,'retorno absoluto'!$D$11,Dataset!AH:AH,"deposito",Dataset!T:T,"$",Dataset!J:J,"&lt;"&amp;$D82,Dataset!J:J,"&gt;="&amp;$C82)*10</f>
        <v>0</v>
      </c>
      <c r="AD82" s="86">
        <f>SUMIFS(Dataset!H:H,Dataset!F:F,'retorno absoluto'!$D$11,Dataset!AH:AH,"deposito",Dataset!T:T,"UF",Dataset!J:J,"&lt;"&amp;$D82,Dataset!J:J,"&gt;="&amp;$C82)*10</f>
        <v>0</v>
      </c>
      <c r="AE82" s="86">
        <f>SUMIFS(Dataset!H:H,Dataset!F:F,'retorno absoluto'!$D$11,Dataset!AH:AH,"bono de gobierno",Dataset!T:T,"$",Dataset!J:J,"&lt;"&amp;$D82,Dataset!J:J,"&gt;="&amp;$C82)*10</f>
        <v>0</v>
      </c>
      <c r="AF82" s="86">
        <f>SUMIFS(Dataset!H:H,Dataset!F:F,'retorno absoluto'!$D$11,Dataset!AH:AH,"bono de gobierno",Dataset!T:T,"UF",Dataset!J:J,"&lt;"&amp;$D82,Dataset!J:J,"&gt;="&amp;$C82)*10</f>
        <v>0</v>
      </c>
      <c r="AG82" s="86">
        <f>SUMIFS(Dataset!H:H,Dataset!F:F,'retorno absoluto'!$D$11,Dataset!AH:AH,"bono de gobierno",Dataset!T:T,"EU",Dataset!J:J,"&lt;"&amp;$D82,Dataset!J:J,"&gt;="&amp;$C82)*10</f>
        <v>0</v>
      </c>
      <c r="AH82" s="86">
        <f>SUMIFS(Dataset!H:H,Dataset!F:F,'retorno absoluto'!$D$11,Dataset!AH:AH,"bono de gobierno",Dataset!T:T,"MX",Dataset!J:J,"&lt;"&amp;$D82,Dataset!J:J,"&gt;="&amp;$C82)*10</f>
        <v>0</v>
      </c>
      <c r="AI82" s="86">
        <f>SUMIFS(Dataset!H:H,Dataset!F:F,'retorno absoluto'!$D$11,Dataset!AH:AH,"bono de gobierno",Dataset!T:T,"REA",Dataset!J:J,"&lt;"&amp;$D82,Dataset!J:J,"&gt;="&amp;$C82)*10</f>
        <v>0</v>
      </c>
      <c r="AJ82" s="86">
        <f>SUMIFS(Dataset!H:H,Dataset!F:F,'retorno absoluto'!$D$11,Dataset!AH:AH,"bono de gobierno",Dataset!T:T,"sol",Dataset!J:J,"&lt;"&amp;$D82,Dataset!J:J,"&gt;="&amp;$C82)*10</f>
        <v>0</v>
      </c>
      <c r="AK82" s="86">
        <f>SUMIFS(Dataset!H:H,Dataset!F:F,'retorno absoluto'!$D$11,Dataset!AH:AH,"bono corporativo",Dataset!T:T,"$",Dataset!J:J,"&lt;"&amp;$D82,Dataset!J:J,"&gt;="&amp;$C82)*10</f>
        <v>0</v>
      </c>
      <c r="AL82" s="86">
        <f>SUMIFS(Dataset!H:H,Dataset!F:F,'retorno absoluto'!$D$11,Dataset!AH:AH,"bono corporativo",Dataset!T:T,"UF",Dataset!J:J,"&lt;"&amp;$D82,Dataset!J:J,"&gt;="&amp;$C82)*10</f>
        <v>0</v>
      </c>
      <c r="AM82" s="86">
        <f>SUMIFS(Dataset!H:H,Dataset!F:F,'retorno absoluto'!$D$11,Dataset!J:J,"&lt;"&amp;$D82,Dataset!J:J,"&gt;="&amp;$C82,Dataset!AH:AH,"&lt;&gt;bono corporativo",Dataset!AH:AH,"&lt;&gt;bono de gobierno",Dataset!AH:AH,"&lt;&gt;deposito")*10</f>
        <v>0</v>
      </c>
      <c r="AN82" s="87">
        <f t="shared" si="10"/>
        <v>0</v>
      </c>
    </row>
    <row r="83" spans="3:40" ht="27" customHeight="1" x14ac:dyDescent="0.3">
      <c r="C83" s="61">
        <v>8.5</v>
      </c>
      <c r="D83" s="81">
        <v>9.5</v>
      </c>
      <c r="E83" s="82">
        <f>SUMIFS(Dataset!AK:AK,Dataset!F:F,'retorno absoluto'!$D$11,Dataset!AH:AH,"deposito",Dataset!T:T,"$",Dataset!J:J,"&lt;"&amp;$D83,Dataset!J:J,"&gt;="&amp;$C83)</f>
        <v>0</v>
      </c>
      <c r="F83" s="83">
        <f>SUMIFS(Dataset!AK:AK,Dataset!F:F,'retorno absoluto'!$D$11,Dataset!AH:AH,"deposito",Dataset!T:T,"UF",Dataset!J:J,"&lt;"&amp;$D83,Dataset!J:J,"&gt;="&amp;$C83)</f>
        <v>0</v>
      </c>
      <c r="G83" s="83">
        <f>SUMIFS(Dataset!AK:AK,Dataset!F:F,'retorno absoluto'!$D$11,Dataset!AH:AH,"bono de gobierno",Dataset!T:T,"$",Dataset!J:J,"&lt;"&amp;$D83,Dataset!J:J,"&gt;="&amp;$C83)</f>
        <v>0</v>
      </c>
      <c r="H83" s="83">
        <f>SUMIFS(Dataset!AK:AK,Dataset!F:F,'retorno absoluto'!$D$11,Dataset!AH:AH,"bono de gobierno",Dataset!T:T,"UF",Dataset!J:J,"&lt;"&amp;$D83,Dataset!J:J,"&gt;="&amp;$C83)</f>
        <v>0</v>
      </c>
      <c r="I83" s="83">
        <f>SUMIFS(Dataset!AK:AK,Dataset!F:F,'retorno absoluto'!$D$11,Dataset!AH:AH,"bono de gobierno",Dataset!T:T,"eu",Dataset!J:J,"&lt;"&amp;$D83,Dataset!J:J,"&gt;="&amp;$C83)</f>
        <v>0</v>
      </c>
      <c r="J83" s="83">
        <f>SUMIFS(Dataset!AK:AK,Dataset!F:F,'retorno absoluto'!$D$11,Dataset!AH:AH,"bono de gobierno",Dataset!T:T,"mx",Dataset!J:J,"&lt;"&amp;$D83,Dataset!J:J,"&gt;="&amp;$C83)</f>
        <v>0</v>
      </c>
      <c r="K83" s="83">
        <f>SUMIFS(Dataset!AK:AK,Dataset!F:F,'retorno absoluto'!$D$11,Dataset!AH:AH,"bono de gobierno",Dataset!T:T,"rea",Dataset!J:J,"&lt;"&amp;$D83,Dataset!J:J,"&gt;="&amp;$C83)</f>
        <v>0</v>
      </c>
      <c r="L83" s="83">
        <f>SUMIFS(Dataset!AK:AK,Dataset!F:F,'retorno absoluto'!$D$11,Dataset!AH:AH,"bono de gobierno",Dataset!T:T,"sol",Dataset!J:J,"&lt;"&amp;$D83,Dataset!J:J,"&gt;="&amp;$C83)</f>
        <v>0</v>
      </c>
      <c r="M83" s="83">
        <f>SUMIFS(Dataset!AK:AK,Dataset!F:F,'retorno absoluto'!$D$11,Dataset!AH:AH,"bono corporativo",Dataset!T:T,"$",Dataset!J:J,"&lt;"&amp;$D83,Dataset!J:J,"&gt;="&amp;$C83)</f>
        <v>0</v>
      </c>
      <c r="N83" s="83">
        <f>SUMIFS(Dataset!AK:AK,Dataset!F:F,'retorno absoluto'!$D$11,Dataset!AH:AH,"bono corporativo",Dataset!T:T,"UF",Dataset!J:J,"&lt;"&amp;$D83,Dataset!J:J,"&gt;="&amp;$C83)</f>
        <v>0</v>
      </c>
      <c r="O83" s="83">
        <f>SUMIFS(Dataset!AK:AK,Dataset!F:F,'retorno absoluto'!$D$11,Dataset!J:J,"&lt;"&amp;$D83,Dataset!J:J,"&gt;="&amp;$C83,Dataset!AH:AH,"&lt;&gt;bono corporativo",Dataset!AH:AH,"&lt;&gt;bono de gobierno",Dataset!AH:AH,"&lt;&gt;deposito")</f>
        <v>0</v>
      </c>
      <c r="P83" s="84">
        <f t="shared" si="8"/>
        <v>0</v>
      </c>
      <c r="Q83" s="82">
        <f>SUMIFS(Dataset!AA:AA,Dataset!F:F,'retorno absoluto'!$D$11,Dataset!AH:AH,"deposito",Dataset!T:T,"$",Dataset!J:J,"&lt;"&amp;$D83,Dataset!J:J,"&gt;="&amp;$C83)</f>
        <v>0</v>
      </c>
      <c r="R83" s="83">
        <f>SUMIFS(Dataset!AA:AA,Dataset!F:F,'retorno absoluto'!$D$11,Dataset!AH:AH,"deposito",Dataset!T:T,"UF",Dataset!J:J,"&lt;"&amp;$D83,Dataset!J:J,"&gt;="&amp;$C83)</f>
        <v>0</v>
      </c>
      <c r="S83" s="83">
        <f>SUMIFS(Dataset!AA:AA,Dataset!F:F,'retorno absoluto'!$D$11,Dataset!AH:AH,"bono de gobierno",Dataset!T:T,"$",Dataset!J:J,"&lt;"&amp;$D83,Dataset!J:J,"&gt;="&amp;$C83)</f>
        <v>0</v>
      </c>
      <c r="T83" s="83">
        <f>SUMIFS(Dataset!AA:AA,Dataset!F:F,'retorno absoluto'!$D$11,Dataset!AH:AH,"bono de gobierno",Dataset!T:T,"UF",Dataset!J:J,"&lt;"&amp;$D83,Dataset!J:J,"&gt;="&amp;$C83)</f>
        <v>0</v>
      </c>
      <c r="U83" s="83">
        <f>SUMIFS(Dataset!AA:AA,Dataset!F:F,'retorno absoluto'!$D$11,Dataset!AH:AH,"bono de gobierno",Dataset!T:T,"EU",Dataset!J:J,"&lt;"&amp;$D83,Dataset!J:J,"&gt;="&amp;$C83)</f>
        <v>0</v>
      </c>
      <c r="V83" s="83">
        <f>SUMIFS(Dataset!AA:AA,Dataset!F:F,'retorno absoluto'!$D$11,Dataset!AH:AH,"bono de gobierno",Dataset!T:T,"MX",Dataset!J:J,"&lt;"&amp;$D83,Dataset!J:J,"&gt;="&amp;$C83)</f>
        <v>0</v>
      </c>
      <c r="W83" s="83">
        <f>SUMIFS(Dataset!AA:AA,Dataset!F:F,'retorno absoluto'!$D$11,Dataset!AH:AH,"bono de gobierno",Dataset!T:T,"REA",Dataset!J:J,"&lt;"&amp;$D83,Dataset!J:J,"&gt;="&amp;$C83)</f>
        <v>0</v>
      </c>
      <c r="X83" s="83">
        <f>SUMIFS(Dataset!AA:AA,Dataset!F:F,'retorno absoluto'!$D$11,Dataset!AH:AH,"bono de gobierno",Dataset!T:T,"sol",Dataset!J:J,"&lt;"&amp;$D83,Dataset!J:J,"&gt;="&amp;$C83)</f>
        <v>0</v>
      </c>
      <c r="Y83" s="83">
        <f>SUMIFS(Dataset!AA:AA,Dataset!F:F,'retorno absoluto'!$D$11,Dataset!AH:AH,"bono corporativo",Dataset!T:T,"$",Dataset!J:J,"&lt;"&amp;$D83,Dataset!J:J,"&gt;="&amp;$C83)</f>
        <v>0</v>
      </c>
      <c r="Z83" s="83">
        <f>SUMIFS(Dataset!AA:AA,Dataset!F:F,'retorno absoluto'!$D$11,Dataset!AH:AH,"bono corporativo",Dataset!T:T,"UF",Dataset!J:J,"&lt;"&amp;$D83,Dataset!J:J,"&gt;="&amp;$C83)</f>
        <v>0</v>
      </c>
      <c r="AA83" s="83">
        <f>SUMIFS(Dataset!AA:AA,Dataset!F:F,'retorno absoluto'!$D$11,Dataset!J:J,"&lt;"&amp;$D83,Dataset!J:J,"&gt;="&amp;$C83,Dataset!AH:AH,"&lt;&gt;bono corporativo",Dataset!AH:AH,"&lt;&gt;bono de gobierno",Dataset!AH:AH,"&lt;&gt;deposito")</f>
        <v>0</v>
      </c>
      <c r="AB83" s="84">
        <f t="shared" si="9"/>
        <v>0</v>
      </c>
      <c r="AC83" s="85">
        <f>SUMIFS(Dataset!H:H,Dataset!F:F,'retorno absoluto'!$D$11,Dataset!AH:AH,"deposito",Dataset!T:T,"$",Dataset!J:J,"&lt;"&amp;$D83,Dataset!J:J,"&gt;="&amp;$C83)*10</f>
        <v>0</v>
      </c>
      <c r="AD83" s="86">
        <f>SUMIFS(Dataset!H:H,Dataset!F:F,'retorno absoluto'!$D$11,Dataset!AH:AH,"deposito",Dataset!T:T,"UF",Dataset!J:J,"&lt;"&amp;$D83,Dataset!J:J,"&gt;="&amp;$C83)*10</f>
        <v>0</v>
      </c>
      <c r="AE83" s="86">
        <f>SUMIFS(Dataset!H:H,Dataset!F:F,'retorno absoluto'!$D$11,Dataset!AH:AH,"bono de gobierno",Dataset!T:T,"$",Dataset!J:J,"&lt;"&amp;$D83,Dataset!J:J,"&gt;="&amp;$C83)*10</f>
        <v>0</v>
      </c>
      <c r="AF83" s="86">
        <f>SUMIFS(Dataset!H:H,Dataset!F:F,'retorno absoluto'!$D$11,Dataset!AH:AH,"bono de gobierno",Dataset!T:T,"UF",Dataset!J:J,"&lt;"&amp;$D83,Dataset!J:J,"&gt;="&amp;$C83)*10</f>
        <v>0</v>
      </c>
      <c r="AG83" s="86">
        <f>SUMIFS(Dataset!H:H,Dataset!F:F,'retorno absoluto'!$D$11,Dataset!AH:AH,"bono de gobierno",Dataset!T:T,"EU",Dataset!J:J,"&lt;"&amp;$D83,Dataset!J:J,"&gt;="&amp;$C83)*10</f>
        <v>0</v>
      </c>
      <c r="AH83" s="86">
        <f>SUMIFS(Dataset!H:H,Dataset!F:F,'retorno absoluto'!$D$11,Dataset!AH:AH,"bono de gobierno",Dataset!T:T,"MX",Dataset!J:J,"&lt;"&amp;$D83,Dataset!J:J,"&gt;="&amp;$C83)*10</f>
        <v>0</v>
      </c>
      <c r="AI83" s="86">
        <f>SUMIFS(Dataset!H:H,Dataset!F:F,'retorno absoluto'!$D$11,Dataset!AH:AH,"bono de gobierno",Dataset!T:T,"REA",Dataset!J:J,"&lt;"&amp;$D83,Dataset!J:J,"&gt;="&amp;$C83)*10</f>
        <v>0</v>
      </c>
      <c r="AJ83" s="86">
        <f>SUMIFS(Dataset!H:H,Dataset!F:F,'retorno absoluto'!$D$11,Dataset!AH:AH,"bono de gobierno",Dataset!T:T,"sol",Dataset!J:J,"&lt;"&amp;$D83,Dataset!J:J,"&gt;="&amp;$C83)*10</f>
        <v>0</v>
      </c>
      <c r="AK83" s="86">
        <f>SUMIFS(Dataset!H:H,Dataset!F:F,'retorno absoluto'!$D$11,Dataset!AH:AH,"bono corporativo",Dataset!T:T,"$",Dataset!J:J,"&lt;"&amp;$D83,Dataset!J:J,"&gt;="&amp;$C83)*10</f>
        <v>0</v>
      </c>
      <c r="AL83" s="86">
        <f>SUMIFS(Dataset!H:H,Dataset!F:F,'retorno absoluto'!$D$11,Dataset!AH:AH,"bono corporativo",Dataset!T:T,"UF",Dataset!J:J,"&lt;"&amp;$D83,Dataset!J:J,"&gt;="&amp;$C83)*10</f>
        <v>0</v>
      </c>
      <c r="AM83" s="86">
        <f>SUMIFS(Dataset!H:H,Dataset!F:F,'retorno absoluto'!$D$11,Dataset!J:J,"&lt;"&amp;$D83,Dataset!J:J,"&gt;="&amp;$C83,Dataset!AH:AH,"&lt;&gt;bono corporativo",Dataset!AH:AH,"&lt;&gt;bono de gobierno",Dataset!AH:AH,"&lt;&gt;deposito")*10</f>
        <v>0</v>
      </c>
      <c r="AN83" s="87">
        <f t="shared" si="10"/>
        <v>0</v>
      </c>
    </row>
    <row r="84" spans="3:40" ht="27" customHeight="1" x14ac:dyDescent="0.3">
      <c r="C84" s="61">
        <v>9.5</v>
      </c>
      <c r="D84" s="81">
        <v>10.5</v>
      </c>
      <c r="E84" s="82">
        <f>SUMIFS(Dataset!AK:AK,Dataset!F:F,'retorno absoluto'!$D$11,Dataset!AH:AH,"deposito",Dataset!T:T,"$",Dataset!J:J,"&lt;"&amp;$D84,Dataset!J:J,"&gt;="&amp;$C84)</f>
        <v>0</v>
      </c>
      <c r="F84" s="83">
        <f>SUMIFS(Dataset!AK:AK,Dataset!F:F,'retorno absoluto'!$D$11,Dataset!AH:AH,"deposito",Dataset!T:T,"UF",Dataset!J:J,"&lt;"&amp;$D84,Dataset!J:J,"&gt;="&amp;$C84)</f>
        <v>0</v>
      </c>
      <c r="G84" s="83">
        <f>SUMIFS(Dataset!AK:AK,Dataset!F:F,'retorno absoluto'!$D$11,Dataset!AH:AH,"bono de gobierno",Dataset!T:T,"$",Dataset!J:J,"&lt;"&amp;$D84,Dataset!J:J,"&gt;="&amp;$C84)</f>
        <v>0</v>
      </c>
      <c r="H84" s="83">
        <f>SUMIFS(Dataset!AK:AK,Dataset!F:F,'retorno absoluto'!$D$11,Dataset!AH:AH,"bono de gobierno",Dataset!T:T,"UF",Dataset!J:J,"&lt;"&amp;$D84,Dataset!J:J,"&gt;="&amp;$C84)</f>
        <v>0</v>
      </c>
      <c r="I84" s="83">
        <f>SUMIFS(Dataset!AK:AK,Dataset!F:F,'retorno absoluto'!$D$11,Dataset!AH:AH,"bono de gobierno",Dataset!T:T,"eu",Dataset!J:J,"&lt;"&amp;$D84,Dataset!J:J,"&gt;="&amp;$C84)</f>
        <v>0</v>
      </c>
      <c r="J84" s="83">
        <f>SUMIFS(Dataset!AK:AK,Dataset!F:F,'retorno absoluto'!$D$11,Dataset!AH:AH,"bono de gobierno",Dataset!T:T,"mx",Dataset!J:J,"&lt;"&amp;$D84,Dataset!J:J,"&gt;="&amp;$C84)</f>
        <v>0</v>
      </c>
      <c r="K84" s="83">
        <f>SUMIFS(Dataset!AK:AK,Dataset!F:F,'retorno absoluto'!$D$11,Dataset!AH:AH,"bono de gobierno",Dataset!T:T,"rea",Dataset!J:J,"&lt;"&amp;$D84,Dataset!J:J,"&gt;="&amp;$C84)</f>
        <v>0</v>
      </c>
      <c r="L84" s="83">
        <f>SUMIFS(Dataset!AK:AK,Dataset!F:F,'retorno absoluto'!$D$11,Dataset!AH:AH,"bono de gobierno",Dataset!T:T,"sol",Dataset!J:J,"&lt;"&amp;$D84,Dataset!J:J,"&gt;="&amp;$C84)</f>
        <v>0</v>
      </c>
      <c r="M84" s="83">
        <f>SUMIFS(Dataset!AK:AK,Dataset!F:F,'retorno absoluto'!$D$11,Dataset!AH:AH,"bono corporativo",Dataset!T:T,"$",Dataset!J:J,"&lt;"&amp;$D84,Dataset!J:J,"&gt;="&amp;$C84)</f>
        <v>0</v>
      </c>
      <c r="N84" s="83">
        <f>SUMIFS(Dataset!AK:AK,Dataset!F:F,'retorno absoluto'!$D$11,Dataset!AH:AH,"bono corporativo",Dataset!T:T,"UF",Dataset!J:J,"&lt;"&amp;$D84,Dataset!J:J,"&gt;="&amp;$C84)</f>
        <v>0</v>
      </c>
      <c r="O84" s="83">
        <f>SUMIFS(Dataset!AK:AK,Dataset!F:F,'retorno absoluto'!$D$11,Dataset!J:J,"&lt;"&amp;$D84,Dataset!J:J,"&gt;="&amp;$C84,Dataset!AH:AH,"&lt;&gt;bono corporativo",Dataset!AH:AH,"&lt;&gt;bono de gobierno",Dataset!AH:AH,"&lt;&gt;deposito")</f>
        <v>0</v>
      </c>
      <c r="P84" s="84">
        <f t="shared" si="8"/>
        <v>0</v>
      </c>
      <c r="Q84" s="82">
        <f>SUMIFS(Dataset!AA:AA,Dataset!F:F,'retorno absoluto'!$D$11,Dataset!AH:AH,"deposito",Dataset!T:T,"$",Dataset!J:J,"&lt;"&amp;$D84,Dataset!J:J,"&gt;="&amp;$C84)</f>
        <v>0</v>
      </c>
      <c r="R84" s="83">
        <f>SUMIFS(Dataset!AA:AA,Dataset!F:F,'retorno absoluto'!$D$11,Dataset!AH:AH,"deposito",Dataset!T:T,"UF",Dataset!J:J,"&lt;"&amp;$D84,Dataset!J:J,"&gt;="&amp;$C84)</f>
        <v>0</v>
      </c>
      <c r="S84" s="83">
        <f>SUMIFS(Dataset!AA:AA,Dataset!F:F,'retorno absoluto'!$D$11,Dataset!AH:AH,"bono de gobierno",Dataset!T:T,"$",Dataset!J:J,"&lt;"&amp;$D84,Dataset!J:J,"&gt;="&amp;$C84)</f>
        <v>0</v>
      </c>
      <c r="T84" s="83">
        <f>SUMIFS(Dataset!AA:AA,Dataset!F:F,'retorno absoluto'!$D$11,Dataset!AH:AH,"bono de gobierno",Dataset!T:T,"UF",Dataset!J:J,"&lt;"&amp;$D84,Dataset!J:J,"&gt;="&amp;$C84)</f>
        <v>0</v>
      </c>
      <c r="U84" s="83">
        <f>SUMIFS(Dataset!AA:AA,Dataset!F:F,'retorno absoluto'!$D$11,Dataset!AH:AH,"bono de gobierno",Dataset!T:T,"EU",Dataset!J:J,"&lt;"&amp;$D84,Dataset!J:J,"&gt;="&amp;$C84)</f>
        <v>0</v>
      </c>
      <c r="V84" s="83">
        <f>SUMIFS(Dataset!AA:AA,Dataset!F:F,'retorno absoluto'!$D$11,Dataset!AH:AH,"bono de gobierno",Dataset!T:T,"MX",Dataset!J:J,"&lt;"&amp;$D84,Dataset!J:J,"&gt;="&amp;$C84)</f>
        <v>0</v>
      </c>
      <c r="W84" s="83">
        <f>SUMIFS(Dataset!AA:AA,Dataset!F:F,'retorno absoluto'!$D$11,Dataset!AH:AH,"bono de gobierno",Dataset!T:T,"REA",Dataset!J:J,"&lt;"&amp;$D84,Dataset!J:J,"&gt;="&amp;$C84)</f>
        <v>0</v>
      </c>
      <c r="X84" s="83">
        <f>SUMIFS(Dataset!AA:AA,Dataset!F:F,'retorno absoluto'!$D$11,Dataset!AH:AH,"bono de gobierno",Dataset!T:T,"sol",Dataset!J:J,"&lt;"&amp;$D84,Dataset!J:J,"&gt;="&amp;$C84)</f>
        <v>0</v>
      </c>
      <c r="Y84" s="83">
        <f>SUMIFS(Dataset!AA:AA,Dataset!F:F,'retorno absoluto'!$D$11,Dataset!AH:AH,"bono corporativo",Dataset!T:T,"$",Dataset!J:J,"&lt;"&amp;$D84,Dataset!J:J,"&gt;="&amp;$C84)</f>
        <v>0</v>
      </c>
      <c r="Z84" s="83">
        <f>SUMIFS(Dataset!AA:AA,Dataset!F:F,'retorno absoluto'!$D$11,Dataset!AH:AH,"bono corporativo",Dataset!T:T,"UF",Dataset!J:J,"&lt;"&amp;$D84,Dataset!J:J,"&gt;="&amp;$C84)</f>
        <v>0</v>
      </c>
      <c r="AA84" s="83">
        <f>SUMIFS(Dataset!AA:AA,Dataset!F:F,'retorno absoluto'!$D$11,Dataset!J:J,"&lt;"&amp;$D84,Dataset!J:J,"&gt;="&amp;$C84,Dataset!AH:AH,"&lt;&gt;bono corporativo",Dataset!AH:AH,"&lt;&gt;bono de gobierno",Dataset!AH:AH,"&lt;&gt;deposito")</f>
        <v>0</v>
      </c>
      <c r="AB84" s="84">
        <f t="shared" si="9"/>
        <v>0</v>
      </c>
      <c r="AC84" s="85">
        <f>SUMIFS(Dataset!H:H,Dataset!F:F,'retorno absoluto'!$D$11,Dataset!AH:AH,"deposito",Dataset!T:T,"$",Dataset!J:J,"&lt;"&amp;$D84,Dataset!J:J,"&gt;="&amp;$C84)*10</f>
        <v>0</v>
      </c>
      <c r="AD84" s="86">
        <f>SUMIFS(Dataset!H:H,Dataset!F:F,'retorno absoluto'!$D$11,Dataset!AH:AH,"deposito",Dataset!T:T,"UF",Dataset!J:J,"&lt;"&amp;$D84,Dataset!J:J,"&gt;="&amp;$C84)*10</f>
        <v>0</v>
      </c>
      <c r="AE84" s="86">
        <f>SUMIFS(Dataset!H:H,Dataset!F:F,'retorno absoluto'!$D$11,Dataset!AH:AH,"bono de gobierno",Dataset!T:T,"$",Dataset!J:J,"&lt;"&amp;$D84,Dataset!J:J,"&gt;="&amp;$C84)*10</f>
        <v>0</v>
      </c>
      <c r="AF84" s="86">
        <f>SUMIFS(Dataset!H:H,Dataset!F:F,'retorno absoluto'!$D$11,Dataset!AH:AH,"bono de gobierno",Dataset!T:T,"UF",Dataset!J:J,"&lt;"&amp;$D84,Dataset!J:J,"&gt;="&amp;$C84)*10</f>
        <v>0</v>
      </c>
      <c r="AG84" s="86">
        <f>SUMIFS(Dataset!H:H,Dataset!F:F,'retorno absoluto'!$D$11,Dataset!AH:AH,"bono de gobierno",Dataset!T:T,"EU",Dataset!J:J,"&lt;"&amp;$D84,Dataset!J:J,"&gt;="&amp;$C84)*10</f>
        <v>0</v>
      </c>
      <c r="AH84" s="86">
        <f>SUMIFS(Dataset!H:H,Dataset!F:F,'retorno absoluto'!$D$11,Dataset!AH:AH,"bono de gobierno",Dataset!T:T,"MX",Dataset!J:J,"&lt;"&amp;$D84,Dataset!J:J,"&gt;="&amp;$C84)*10</f>
        <v>0</v>
      </c>
      <c r="AI84" s="86">
        <f>SUMIFS(Dataset!H:H,Dataset!F:F,'retorno absoluto'!$D$11,Dataset!AH:AH,"bono de gobierno",Dataset!T:T,"REA",Dataset!J:J,"&lt;"&amp;$D84,Dataset!J:J,"&gt;="&amp;$C84)*10</f>
        <v>0</v>
      </c>
      <c r="AJ84" s="86">
        <f>SUMIFS(Dataset!H:H,Dataset!F:F,'retorno absoluto'!$D$11,Dataset!AH:AH,"bono de gobierno",Dataset!T:T,"sol",Dataset!J:J,"&lt;"&amp;$D84,Dataset!J:J,"&gt;="&amp;$C84)*10</f>
        <v>0</v>
      </c>
      <c r="AK84" s="86">
        <f>SUMIFS(Dataset!H:H,Dataset!F:F,'retorno absoluto'!$D$11,Dataset!AH:AH,"bono corporativo",Dataset!T:T,"$",Dataset!J:J,"&lt;"&amp;$D84,Dataset!J:J,"&gt;="&amp;$C84)*10</f>
        <v>0</v>
      </c>
      <c r="AL84" s="86">
        <f>SUMIFS(Dataset!H:H,Dataset!F:F,'retorno absoluto'!$D$11,Dataset!AH:AH,"bono corporativo",Dataset!T:T,"UF",Dataset!J:J,"&lt;"&amp;$D84,Dataset!J:J,"&gt;="&amp;$C84)*10</f>
        <v>0</v>
      </c>
      <c r="AM84" s="86">
        <f>SUMIFS(Dataset!H:H,Dataset!F:F,'retorno absoluto'!$D$11,Dataset!J:J,"&lt;"&amp;$D84,Dataset!J:J,"&gt;="&amp;$C84,Dataset!AH:AH,"&lt;&gt;bono corporativo",Dataset!AH:AH,"&lt;&gt;bono de gobierno",Dataset!AH:AH,"&lt;&gt;deposito")*10</f>
        <v>0</v>
      </c>
      <c r="AN84" s="87">
        <f t="shared" si="10"/>
        <v>0</v>
      </c>
    </row>
    <row r="85" spans="3:40" ht="27" customHeight="1" x14ac:dyDescent="0.3">
      <c r="C85" s="61">
        <v>10.5</v>
      </c>
      <c r="D85" s="81">
        <v>11.5</v>
      </c>
      <c r="E85" s="82">
        <f>SUMIFS(Dataset!AK:AK,Dataset!F:F,'retorno absoluto'!$D$11,Dataset!AH:AH,"deposito",Dataset!T:T,"$",Dataset!J:J,"&lt;"&amp;$D85,Dataset!J:J,"&gt;="&amp;$C85)</f>
        <v>0</v>
      </c>
      <c r="F85" s="83">
        <f>SUMIFS(Dataset!AK:AK,Dataset!F:F,'retorno absoluto'!$D$11,Dataset!AH:AH,"deposito",Dataset!T:T,"UF",Dataset!J:J,"&lt;"&amp;$D85,Dataset!J:J,"&gt;="&amp;$C85)</f>
        <v>0</v>
      </c>
      <c r="G85" s="83">
        <f>SUMIFS(Dataset!AK:AK,Dataset!F:F,'retorno absoluto'!$D$11,Dataset!AH:AH,"bono de gobierno",Dataset!T:T,"$",Dataset!J:J,"&lt;"&amp;$D85,Dataset!J:J,"&gt;="&amp;$C85)</f>
        <v>0</v>
      </c>
      <c r="H85" s="83">
        <f>SUMIFS(Dataset!AK:AK,Dataset!F:F,'retorno absoluto'!$D$11,Dataset!AH:AH,"bono de gobierno",Dataset!T:T,"UF",Dataset!J:J,"&lt;"&amp;$D85,Dataset!J:J,"&gt;="&amp;$C85)</f>
        <v>0</v>
      </c>
      <c r="I85" s="83">
        <f>SUMIFS(Dataset!AK:AK,Dataset!F:F,'retorno absoluto'!$D$11,Dataset!AH:AH,"bono de gobierno",Dataset!T:T,"eu",Dataset!J:J,"&lt;"&amp;$D85,Dataset!J:J,"&gt;="&amp;$C85)</f>
        <v>0</v>
      </c>
      <c r="J85" s="83">
        <f>SUMIFS(Dataset!AK:AK,Dataset!F:F,'retorno absoluto'!$D$11,Dataset!AH:AH,"bono de gobierno",Dataset!T:T,"mx",Dataset!J:J,"&lt;"&amp;$D85,Dataset!J:J,"&gt;="&amp;$C85)</f>
        <v>0</v>
      </c>
      <c r="K85" s="83">
        <f>SUMIFS(Dataset!AK:AK,Dataset!F:F,'retorno absoluto'!$D$11,Dataset!AH:AH,"bono de gobierno",Dataset!T:T,"rea",Dataset!J:J,"&lt;"&amp;$D85,Dataset!J:J,"&gt;="&amp;$C85)</f>
        <v>0</v>
      </c>
      <c r="L85" s="83">
        <f>SUMIFS(Dataset!AK:AK,Dataset!F:F,'retorno absoluto'!$D$11,Dataset!AH:AH,"bono de gobierno",Dataset!T:T,"sol",Dataset!J:J,"&lt;"&amp;$D85,Dataset!J:J,"&gt;="&amp;$C85)</f>
        <v>0</v>
      </c>
      <c r="M85" s="83">
        <f>SUMIFS(Dataset!AK:AK,Dataset!F:F,'retorno absoluto'!$D$11,Dataset!AH:AH,"bono corporativo",Dataset!T:T,"$",Dataset!J:J,"&lt;"&amp;$D85,Dataset!J:J,"&gt;="&amp;$C85)</f>
        <v>0</v>
      </c>
      <c r="N85" s="83">
        <f>SUMIFS(Dataset!AK:AK,Dataset!F:F,'retorno absoluto'!$D$11,Dataset!AH:AH,"bono corporativo",Dataset!T:T,"UF",Dataset!J:J,"&lt;"&amp;$D85,Dataset!J:J,"&gt;="&amp;$C85)</f>
        <v>0</v>
      </c>
      <c r="O85" s="83">
        <f>SUMIFS(Dataset!AK:AK,Dataset!F:F,'retorno absoluto'!$D$11,Dataset!J:J,"&lt;"&amp;$D85,Dataset!J:J,"&gt;="&amp;$C85,Dataset!AH:AH,"&lt;&gt;bono corporativo",Dataset!AH:AH,"&lt;&gt;bono de gobierno",Dataset!AH:AH,"&lt;&gt;deposito")</f>
        <v>0</v>
      </c>
      <c r="P85" s="84">
        <f t="shared" si="8"/>
        <v>0</v>
      </c>
      <c r="Q85" s="82">
        <f>SUMIFS(Dataset!AA:AA,Dataset!F:F,'retorno absoluto'!$D$11,Dataset!AH:AH,"deposito",Dataset!T:T,"$",Dataset!J:J,"&lt;"&amp;$D85,Dataset!J:J,"&gt;="&amp;$C85)</f>
        <v>0</v>
      </c>
      <c r="R85" s="83">
        <f>SUMIFS(Dataset!AA:AA,Dataset!F:F,'retorno absoluto'!$D$11,Dataset!AH:AH,"deposito",Dataset!T:T,"UF",Dataset!J:J,"&lt;"&amp;$D85,Dataset!J:J,"&gt;="&amp;$C85)</f>
        <v>0</v>
      </c>
      <c r="S85" s="83">
        <f>SUMIFS(Dataset!AA:AA,Dataset!F:F,'retorno absoluto'!$D$11,Dataset!AH:AH,"bono de gobierno",Dataset!T:T,"$",Dataset!J:J,"&lt;"&amp;$D85,Dataset!J:J,"&gt;="&amp;$C85)</f>
        <v>0</v>
      </c>
      <c r="T85" s="83">
        <f>SUMIFS(Dataset!AA:AA,Dataset!F:F,'retorno absoluto'!$D$11,Dataset!AH:AH,"bono de gobierno",Dataset!T:T,"UF",Dataset!J:J,"&lt;"&amp;$D85,Dataset!J:J,"&gt;="&amp;$C85)</f>
        <v>0</v>
      </c>
      <c r="U85" s="83">
        <f>SUMIFS(Dataset!AA:AA,Dataset!F:F,'retorno absoluto'!$D$11,Dataset!AH:AH,"bono de gobierno",Dataset!T:T,"EU",Dataset!J:J,"&lt;"&amp;$D85,Dataset!J:J,"&gt;="&amp;$C85)</f>
        <v>0</v>
      </c>
      <c r="V85" s="83">
        <f>SUMIFS(Dataset!AA:AA,Dataset!F:F,'retorno absoluto'!$D$11,Dataset!AH:AH,"bono de gobierno",Dataset!T:T,"MX",Dataset!J:J,"&lt;"&amp;$D85,Dataset!J:J,"&gt;="&amp;$C85)</f>
        <v>0</v>
      </c>
      <c r="W85" s="83">
        <f>SUMIFS(Dataset!AA:AA,Dataset!F:F,'retorno absoluto'!$D$11,Dataset!AH:AH,"bono de gobierno",Dataset!T:T,"REA",Dataset!J:J,"&lt;"&amp;$D85,Dataset!J:J,"&gt;="&amp;$C85)</f>
        <v>0</v>
      </c>
      <c r="X85" s="83">
        <f>SUMIFS(Dataset!AA:AA,Dataset!F:F,'retorno absoluto'!$D$11,Dataset!AH:AH,"bono de gobierno",Dataset!T:T,"sol",Dataset!J:J,"&lt;"&amp;$D85,Dataset!J:J,"&gt;="&amp;$C85)</f>
        <v>0</v>
      </c>
      <c r="Y85" s="83">
        <f>SUMIFS(Dataset!AA:AA,Dataset!F:F,'retorno absoluto'!$D$11,Dataset!AH:AH,"bono corporativo",Dataset!T:T,"$",Dataset!J:J,"&lt;"&amp;$D85,Dataset!J:J,"&gt;="&amp;$C85)</f>
        <v>0</v>
      </c>
      <c r="Z85" s="83">
        <f>SUMIFS(Dataset!AA:AA,Dataset!F:F,'retorno absoluto'!$D$11,Dataset!AH:AH,"bono corporativo",Dataset!T:T,"UF",Dataset!J:J,"&lt;"&amp;$D85,Dataset!J:J,"&gt;="&amp;$C85)</f>
        <v>0</v>
      </c>
      <c r="AA85" s="83">
        <f>SUMIFS(Dataset!AA:AA,Dataset!F:F,'retorno absoluto'!$D$11,Dataset!J:J,"&lt;"&amp;$D85,Dataset!J:J,"&gt;="&amp;$C85,Dataset!AH:AH,"&lt;&gt;bono corporativo",Dataset!AH:AH,"&lt;&gt;bono de gobierno",Dataset!AH:AH,"&lt;&gt;deposito")</f>
        <v>0</v>
      </c>
      <c r="AB85" s="84">
        <f t="shared" si="9"/>
        <v>0</v>
      </c>
      <c r="AC85" s="85">
        <f>SUMIFS(Dataset!H:H,Dataset!F:F,'retorno absoluto'!$D$11,Dataset!AH:AH,"deposito",Dataset!T:T,"$",Dataset!J:J,"&lt;"&amp;$D85,Dataset!J:J,"&gt;="&amp;$C85)*10</f>
        <v>0</v>
      </c>
      <c r="AD85" s="86">
        <f>SUMIFS(Dataset!H:H,Dataset!F:F,'retorno absoluto'!$D$11,Dataset!AH:AH,"deposito",Dataset!T:T,"UF",Dataset!J:J,"&lt;"&amp;$D85,Dataset!J:J,"&gt;="&amp;$C85)*10</f>
        <v>0</v>
      </c>
      <c r="AE85" s="86">
        <f>SUMIFS(Dataset!H:H,Dataset!F:F,'retorno absoluto'!$D$11,Dataset!AH:AH,"bono de gobierno",Dataset!T:T,"$",Dataset!J:J,"&lt;"&amp;$D85,Dataset!J:J,"&gt;="&amp;$C85)*10</f>
        <v>0</v>
      </c>
      <c r="AF85" s="86">
        <f>SUMIFS(Dataset!H:H,Dataset!F:F,'retorno absoluto'!$D$11,Dataset!AH:AH,"bono de gobierno",Dataset!T:T,"UF",Dataset!J:J,"&lt;"&amp;$D85,Dataset!J:J,"&gt;="&amp;$C85)*10</f>
        <v>0</v>
      </c>
      <c r="AG85" s="86">
        <f>SUMIFS(Dataset!H:H,Dataset!F:F,'retorno absoluto'!$D$11,Dataset!AH:AH,"bono de gobierno",Dataset!T:T,"EU",Dataset!J:J,"&lt;"&amp;$D85,Dataset!J:J,"&gt;="&amp;$C85)*10</f>
        <v>0</v>
      </c>
      <c r="AH85" s="86">
        <f>SUMIFS(Dataset!H:H,Dataset!F:F,'retorno absoluto'!$D$11,Dataset!AH:AH,"bono de gobierno",Dataset!T:T,"MX",Dataset!J:J,"&lt;"&amp;$D85,Dataset!J:J,"&gt;="&amp;$C85)*10</f>
        <v>0</v>
      </c>
      <c r="AI85" s="86">
        <f>SUMIFS(Dataset!H:H,Dataset!F:F,'retorno absoluto'!$D$11,Dataset!AH:AH,"bono de gobierno",Dataset!T:T,"REA",Dataset!J:J,"&lt;"&amp;$D85,Dataset!J:J,"&gt;="&amp;$C85)*10</f>
        <v>0</v>
      </c>
      <c r="AJ85" s="86">
        <f>SUMIFS(Dataset!H:H,Dataset!F:F,'retorno absoluto'!$D$11,Dataset!AH:AH,"bono de gobierno",Dataset!T:T,"sol",Dataset!J:J,"&lt;"&amp;$D85,Dataset!J:J,"&gt;="&amp;$C85)*10</f>
        <v>0</v>
      </c>
      <c r="AK85" s="86">
        <f>SUMIFS(Dataset!H:H,Dataset!F:F,'retorno absoluto'!$D$11,Dataset!AH:AH,"bono corporativo",Dataset!T:T,"$",Dataset!J:J,"&lt;"&amp;$D85,Dataset!J:J,"&gt;="&amp;$C85)*10</f>
        <v>0</v>
      </c>
      <c r="AL85" s="86">
        <f>SUMIFS(Dataset!H:H,Dataset!F:F,'retorno absoluto'!$D$11,Dataset!AH:AH,"bono corporativo",Dataset!T:T,"UF",Dataset!J:J,"&lt;"&amp;$D85,Dataset!J:J,"&gt;="&amp;$C85)*10</f>
        <v>0</v>
      </c>
      <c r="AM85" s="86">
        <f>SUMIFS(Dataset!H:H,Dataset!F:F,'retorno absoluto'!$D$11,Dataset!J:J,"&lt;"&amp;$D85,Dataset!J:J,"&gt;="&amp;$C85,Dataset!AH:AH,"&lt;&gt;bono corporativo",Dataset!AH:AH,"&lt;&gt;bono de gobierno",Dataset!AH:AH,"&lt;&gt;deposito")*10</f>
        <v>0</v>
      </c>
      <c r="AN85" s="87">
        <f t="shared" si="10"/>
        <v>0</v>
      </c>
    </row>
    <row r="86" spans="3:40" ht="27" customHeight="1" x14ac:dyDescent="0.3">
      <c r="C86" s="61">
        <v>11.5</v>
      </c>
      <c r="D86" s="81">
        <v>12.5</v>
      </c>
      <c r="E86" s="82">
        <f>SUMIFS(Dataset!AK:AK,Dataset!F:F,'retorno absoluto'!$D$11,Dataset!AH:AH,"deposito",Dataset!T:T,"$",Dataset!J:J,"&lt;"&amp;$D86,Dataset!J:J,"&gt;="&amp;$C86)</f>
        <v>0</v>
      </c>
      <c r="F86" s="83">
        <f>SUMIFS(Dataset!AK:AK,Dataset!F:F,'retorno absoluto'!$D$11,Dataset!AH:AH,"deposito",Dataset!T:T,"UF",Dataset!J:J,"&lt;"&amp;$D86,Dataset!J:J,"&gt;="&amp;$C86)</f>
        <v>0</v>
      </c>
      <c r="G86" s="83">
        <f>SUMIFS(Dataset!AK:AK,Dataset!F:F,'retorno absoluto'!$D$11,Dataset!AH:AH,"bono de gobierno",Dataset!T:T,"$",Dataset!J:J,"&lt;"&amp;$D86,Dataset!J:J,"&gt;="&amp;$C86)</f>
        <v>0</v>
      </c>
      <c r="H86" s="83">
        <f>SUMIFS(Dataset!AK:AK,Dataset!F:F,'retorno absoluto'!$D$11,Dataset!AH:AH,"bono de gobierno",Dataset!T:T,"UF",Dataset!J:J,"&lt;"&amp;$D86,Dataset!J:J,"&gt;="&amp;$C86)</f>
        <v>0</v>
      </c>
      <c r="I86" s="83">
        <f>SUMIFS(Dataset!AK:AK,Dataset!F:F,'retorno absoluto'!$D$11,Dataset!AH:AH,"bono de gobierno",Dataset!T:T,"eu",Dataset!J:J,"&lt;"&amp;$D86,Dataset!J:J,"&gt;="&amp;$C86)</f>
        <v>0</v>
      </c>
      <c r="J86" s="83">
        <f>SUMIFS(Dataset!AK:AK,Dataset!F:F,'retorno absoluto'!$D$11,Dataset!AH:AH,"bono de gobierno",Dataset!T:T,"mx",Dataset!J:J,"&lt;"&amp;$D86,Dataset!J:J,"&gt;="&amp;$C86)</f>
        <v>0</v>
      </c>
      <c r="K86" s="83">
        <f>SUMIFS(Dataset!AK:AK,Dataset!F:F,'retorno absoluto'!$D$11,Dataset!AH:AH,"bono de gobierno",Dataset!T:T,"rea",Dataset!J:J,"&lt;"&amp;$D86,Dataset!J:J,"&gt;="&amp;$C86)</f>
        <v>0</v>
      </c>
      <c r="L86" s="83">
        <f>SUMIFS(Dataset!AK:AK,Dataset!F:F,'retorno absoluto'!$D$11,Dataset!AH:AH,"bono de gobierno",Dataset!T:T,"sol",Dataset!J:J,"&lt;"&amp;$D86,Dataset!J:J,"&gt;="&amp;$C86)</f>
        <v>0</v>
      </c>
      <c r="M86" s="83">
        <f>SUMIFS(Dataset!AK:AK,Dataset!F:F,'retorno absoluto'!$D$11,Dataset!AH:AH,"bono corporativo",Dataset!T:T,"$",Dataset!J:J,"&lt;"&amp;$D86,Dataset!J:J,"&gt;="&amp;$C86)</f>
        <v>0</v>
      </c>
      <c r="N86" s="83">
        <f>SUMIFS(Dataset!AK:AK,Dataset!F:F,'retorno absoluto'!$D$11,Dataset!AH:AH,"bono corporativo",Dataset!T:T,"UF",Dataset!J:J,"&lt;"&amp;$D86,Dataset!J:J,"&gt;="&amp;$C86)</f>
        <v>0</v>
      </c>
      <c r="O86" s="83">
        <f>SUMIFS(Dataset!AK:AK,Dataset!F:F,'retorno absoluto'!$D$11,Dataset!J:J,"&lt;"&amp;$D86,Dataset!J:J,"&gt;="&amp;$C86,Dataset!AH:AH,"&lt;&gt;bono corporativo",Dataset!AH:AH,"&lt;&gt;bono de gobierno",Dataset!AH:AH,"&lt;&gt;deposito")</f>
        <v>0</v>
      </c>
      <c r="P86" s="84">
        <f t="shared" si="8"/>
        <v>0</v>
      </c>
      <c r="Q86" s="82">
        <f>SUMIFS(Dataset!AA:AA,Dataset!F:F,'retorno absoluto'!$D$11,Dataset!AH:AH,"deposito",Dataset!T:T,"$",Dataset!J:J,"&lt;"&amp;$D86,Dataset!J:J,"&gt;="&amp;$C86)</f>
        <v>0</v>
      </c>
      <c r="R86" s="83">
        <f>SUMIFS(Dataset!AA:AA,Dataset!F:F,'retorno absoluto'!$D$11,Dataset!AH:AH,"deposito",Dataset!T:T,"UF",Dataset!J:J,"&lt;"&amp;$D86,Dataset!J:J,"&gt;="&amp;$C86)</f>
        <v>0</v>
      </c>
      <c r="S86" s="83">
        <f>SUMIFS(Dataset!AA:AA,Dataset!F:F,'retorno absoluto'!$D$11,Dataset!AH:AH,"bono de gobierno",Dataset!T:T,"$",Dataset!J:J,"&lt;"&amp;$D86,Dataset!J:J,"&gt;="&amp;$C86)</f>
        <v>0</v>
      </c>
      <c r="T86" s="83">
        <f>SUMIFS(Dataset!AA:AA,Dataset!F:F,'retorno absoluto'!$D$11,Dataset!AH:AH,"bono de gobierno",Dataset!T:T,"UF",Dataset!J:J,"&lt;"&amp;$D86,Dataset!J:J,"&gt;="&amp;$C86)</f>
        <v>0</v>
      </c>
      <c r="U86" s="83">
        <f>SUMIFS(Dataset!AA:AA,Dataset!F:F,'retorno absoluto'!$D$11,Dataset!AH:AH,"bono de gobierno",Dataset!T:T,"EU",Dataset!J:J,"&lt;"&amp;$D86,Dataset!J:J,"&gt;="&amp;$C86)</f>
        <v>0</v>
      </c>
      <c r="V86" s="83">
        <f>SUMIFS(Dataset!AA:AA,Dataset!F:F,'retorno absoluto'!$D$11,Dataset!AH:AH,"bono de gobierno",Dataset!T:T,"MX",Dataset!J:J,"&lt;"&amp;$D86,Dataset!J:J,"&gt;="&amp;$C86)</f>
        <v>0</v>
      </c>
      <c r="W86" s="83">
        <f>SUMIFS(Dataset!AA:AA,Dataset!F:F,'retorno absoluto'!$D$11,Dataset!AH:AH,"bono de gobierno",Dataset!T:T,"REA",Dataset!J:J,"&lt;"&amp;$D86,Dataset!J:J,"&gt;="&amp;$C86)</f>
        <v>0</v>
      </c>
      <c r="X86" s="83">
        <f>SUMIFS(Dataset!AA:AA,Dataset!F:F,'retorno absoluto'!$D$11,Dataset!AH:AH,"bono de gobierno",Dataset!T:T,"sol",Dataset!J:J,"&lt;"&amp;$D86,Dataset!J:J,"&gt;="&amp;$C86)</f>
        <v>0</v>
      </c>
      <c r="Y86" s="83">
        <f>SUMIFS(Dataset!AA:AA,Dataset!F:F,'retorno absoluto'!$D$11,Dataset!AH:AH,"bono corporativo",Dataset!T:T,"$",Dataset!J:J,"&lt;"&amp;$D86,Dataset!J:J,"&gt;="&amp;$C86)</f>
        <v>0</v>
      </c>
      <c r="Z86" s="83">
        <f>SUMIFS(Dataset!AA:AA,Dataset!F:F,'retorno absoluto'!$D$11,Dataset!AH:AH,"bono corporativo",Dataset!T:T,"UF",Dataset!J:J,"&lt;"&amp;$D86,Dataset!J:J,"&gt;="&amp;$C86)</f>
        <v>0</v>
      </c>
      <c r="AA86" s="83">
        <f>SUMIFS(Dataset!AA:AA,Dataset!F:F,'retorno absoluto'!$D$11,Dataset!J:J,"&lt;"&amp;$D86,Dataset!J:J,"&gt;="&amp;$C86,Dataset!AH:AH,"&lt;&gt;bono corporativo",Dataset!AH:AH,"&lt;&gt;bono de gobierno",Dataset!AH:AH,"&lt;&gt;deposito")</f>
        <v>0</v>
      </c>
      <c r="AB86" s="84">
        <f t="shared" si="9"/>
        <v>0</v>
      </c>
      <c r="AC86" s="85">
        <f>SUMIFS(Dataset!H:H,Dataset!F:F,'retorno absoluto'!$D$11,Dataset!AH:AH,"deposito",Dataset!T:T,"$",Dataset!J:J,"&lt;"&amp;$D86,Dataset!J:J,"&gt;="&amp;$C86)*10</f>
        <v>0</v>
      </c>
      <c r="AD86" s="86">
        <f>SUMIFS(Dataset!H:H,Dataset!F:F,'retorno absoluto'!$D$11,Dataset!AH:AH,"deposito",Dataset!T:T,"UF",Dataset!J:J,"&lt;"&amp;$D86,Dataset!J:J,"&gt;="&amp;$C86)*10</f>
        <v>0</v>
      </c>
      <c r="AE86" s="86">
        <f>SUMIFS(Dataset!H:H,Dataset!F:F,'retorno absoluto'!$D$11,Dataset!AH:AH,"bono de gobierno",Dataset!T:T,"$",Dataset!J:J,"&lt;"&amp;$D86,Dataset!J:J,"&gt;="&amp;$C86)*10</f>
        <v>0</v>
      </c>
      <c r="AF86" s="86">
        <f>SUMIFS(Dataset!H:H,Dataset!F:F,'retorno absoluto'!$D$11,Dataset!AH:AH,"bono de gobierno",Dataset!T:T,"UF",Dataset!J:J,"&lt;"&amp;$D86,Dataset!J:J,"&gt;="&amp;$C86)*10</f>
        <v>0</v>
      </c>
      <c r="AG86" s="86">
        <f>SUMIFS(Dataset!H:H,Dataset!F:F,'retorno absoluto'!$D$11,Dataset!AH:AH,"bono de gobierno",Dataset!T:T,"EU",Dataset!J:J,"&lt;"&amp;$D86,Dataset!J:J,"&gt;="&amp;$C86)*10</f>
        <v>0</v>
      </c>
      <c r="AH86" s="86">
        <f>SUMIFS(Dataset!H:H,Dataset!F:F,'retorno absoluto'!$D$11,Dataset!AH:AH,"bono de gobierno",Dataset!T:T,"MX",Dataset!J:J,"&lt;"&amp;$D86,Dataset!J:J,"&gt;="&amp;$C86)*10</f>
        <v>0</v>
      </c>
      <c r="AI86" s="86">
        <f>SUMIFS(Dataset!H:H,Dataset!F:F,'retorno absoluto'!$D$11,Dataset!AH:AH,"bono de gobierno",Dataset!T:T,"REA",Dataset!J:J,"&lt;"&amp;$D86,Dataset!J:J,"&gt;="&amp;$C86)*10</f>
        <v>0</v>
      </c>
      <c r="AJ86" s="86">
        <f>SUMIFS(Dataset!H:H,Dataset!F:F,'retorno absoluto'!$D$11,Dataset!AH:AH,"bono de gobierno",Dataset!T:T,"sol",Dataset!J:J,"&lt;"&amp;$D86,Dataset!J:J,"&gt;="&amp;$C86)*10</f>
        <v>0</v>
      </c>
      <c r="AK86" s="86">
        <f>SUMIFS(Dataset!H:H,Dataset!F:F,'retorno absoluto'!$D$11,Dataset!AH:AH,"bono corporativo",Dataset!T:T,"$",Dataset!J:J,"&lt;"&amp;$D86,Dataset!J:J,"&gt;="&amp;$C86)*10</f>
        <v>0</v>
      </c>
      <c r="AL86" s="86">
        <f>SUMIFS(Dataset!H:H,Dataset!F:F,'retorno absoluto'!$D$11,Dataset!AH:AH,"bono corporativo",Dataset!T:T,"UF",Dataset!J:J,"&lt;"&amp;$D86,Dataset!J:J,"&gt;="&amp;$C86)*10</f>
        <v>0</v>
      </c>
      <c r="AM86" s="86">
        <f>SUMIFS(Dataset!H:H,Dataset!F:F,'retorno absoluto'!$D$11,Dataset!J:J,"&lt;"&amp;$D86,Dataset!J:J,"&gt;="&amp;$C86,Dataset!AH:AH,"&lt;&gt;bono corporativo",Dataset!AH:AH,"&lt;&gt;bono de gobierno",Dataset!AH:AH,"&lt;&gt;deposito")*10</f>
        <v>0</v>
      </c>
      <c r="AN86" s="87">
        <f t="shared" si="10"/>
        <v>0</v>
      </c>
    </row>
    <row r="87" spans="3:40" ht="27" customHeight="1" x14ac:dyDescent="0.3">
      <c r="C87" s="61">
        <v>12.5</v>
      </c>
      <c r="D87" s="81">
        <v>13.5</v>
      </c>
      <c r="E87" s="82">
        <f>SUMIFS(Dataset!AK:AK,Dataset!F:F,'retorno absoluto'!$D$11,Dataset!AH:AH,"deposito",Dataset!T:T,"$",Dataset!J:J,"&lt;"&amp;$D87,Dataset!J:J,"&gt;="&amp;$C87)</f>
        <v>0</v>
      </c>
      <c r="F87" s="83">
        <f>SUMIFS(Dataset!AK:AK,Dataset!F:F,'retorno absoluto'!$D$11,Dataset!AH:AH,"deposito",Dataset!T:T,"UF",Dataset!J:J,"&lt;"&amp;$D87,Dataset!J:J,"&gt;="&amp;$C87)</f>
        <v>0</v>
      </c>
      <c r="G87" s="83">
        <f>SUMIFS(Dataset!AK:AK,Dataset!F:F,'retorno absoluto'!$D$11,Dataset!AH:AH,"bono de gobierno",Dataset!T:T,"$",Dataset!J:J,"&lt;"&amp;$D87,Dataset!J:J,"&gt;="&amp;$C87)</f>
        <v>0</v>
      </c>
      <c r="H87" s="83">
        <f>SUMIFS(Dataset!AK:AK,Dataset!F:F,'retorno absoluto'!$D$11,Dataset!AH:AH,"bono de gobierno",Dataset!T:T,"UF",Dataset!J:J,"&lt;"&amp;$D87,Dataset!J:J,"&gt;="&amp;$C87)</f>
        <v>0</v>
      </c>
      <c r="I87" s="83">
        <f>SUMIFS(Dataset!AK:AK,Dataset!F:F,'retorno absoluto'!$D$11,Dataset!AH:AH,"bono de gobierno",Dataset!T:T,"eu",Dataset!J:J,"&lt;"&amp;$D87,Dataset!J:J,"&gt;="&amp;$C87)</f>
        <v>0</v>
      </c>
      <c r="J87" s="83">
        <f>SUMIFS(Dataset!AK:AK,Dataset!F:F,'retorno absoluto'!$D$11,Dataset!AH:AH,"bono de gobierno",Dataset!T:T,"mx",Dataset!J:J,"&lt;"&amp;$D87,Dataset!J:J,"&gt;="&amp;$C87)</f>
        <v>0</v>
      </c>
      <c r="K87" s="83">
        <f>SUMIFS(Dataset!AK:AK,Dataset!F:F,'retorno absoluto'!$D$11,Dataset!AH:AH,"bono de gobierno",Dataset!T:T,"rea",Dataset!J:J,"&lt;"&amp;$D87,Dataset!J:J,"&gt;="&amp;$C87)</f>
        <v>0</v>
      </c>
      <c r="L87" s="83">
        <f>SUMIFS(Dataset!AK:AK,Dataset!F:F,'retorno absoluto'!$D$11,Dataset!AH:AH,"bono de gobierno",Dataset!T:T,"sol",Dataset!J:J,"&lt;"&amp;$D87,Dataset!J:J,"&gt;="&amp;$C87)</f>
        <v>0</v>
      </c>
      <c r="M87" s="83">
        <f>SUMIFS(Dataset!AK:AK,Dataset!F:F,'retorno absoluto'!$D$11,Dataset!AH:AH,"bono corporativo",Dataset!T:T,"$",Dataset!J:J,"&lt;"&amp;$D87,Dataset!J:J,"&gt;="&amp;$C87)</f>
        <v>0</v>
      </c>
      <c r="N87" s="83">
        <f>SUMIFS(Dataset!AK:AK,Dataset!F:F,'retorno absoluto'!$D$11,Dataset!AH:AH,"bono corporativo",Dataset!T:T,"UF",Dataset!J:J,"&lt;"&amp;$D87,Dataset!J:J,"&gt;="&amp;$C87)</f>
        <v>0</v>
      </c>
      <c r="O87" s="83">
        <f>SUMIFS(Dataset!AK:AK,Dataset!F:F,'retorno absoluto'!$D$11,Dataset!J:J,"&lt;"&amp;$D87,Dataset!J:J,"&gt;="&amp;$C87,Dataset!AH:AH,"&lt;&gt;bono corporativo",Dataset!AH:AH,"&lt;&gt;bono de gobierno",Dataset!AH:AH,"&lt;&gt;deposito")</f>
        <v>0</v>
      </c>
      <c r="P87" s="84">
        <f t="shared" si="8"/>
        <v>0</v>
      </c>
      <c r="Q87" s="82">
        <f>SUMIFS(Dataset!AA:AA,Dataset!F:F,'retorno absoluto'!$D$11,Dataset!AH:AH,"deposito",Dataset!T:T,"$",Dataset!J:J,"&lt;"&amp;$D87,Dataset!J:J,"&gt;="&amp;$C87)</f>
        <v>0</v>
      </c>
      <c r="R87" s="83">
        <f>SUMIFS(Dataset!AA:AA,Dataset!F:F,'retorno absoluto'!$D$11,Dataset!AH:AH,"deposito",Dataset!T:T,"UF",Dataset!J:J,"&lt;"&amp;$D87,Dataset!J:J,"&gt;="&amp;$C87)</f>
        <v>0</v>
      </c>
      <c r="S87" s="83">
        <f>SUMIFS(Dataset!AA:AA,Dataset!F:F,'retorno absoluto'!$D$11,Dataset!AH:AH,"bono de gobierno",Dataset!T:T,"$",Dataset!J:J,"&lt;"&amp;$D87,Dataset!J:J,"&gt;="&amp;$C87)</f>
        <v>0</v>
      </c>
      <c r="T87" s="83">
        <f>SUMIFS(Dataset!AA:AA,Dataset!F:F,'retorno absoluto'!$D$11,Dataset!AH:AH,"bono de gobierno",Dataset!T:T,"UF",Dataset!J:J,"&lt;"&amp;$D87,Dataset!J:J,"&gt;="&amp;$C87)</f>
        <v>0</v>
      </c>
      <c r="U87" s="83">
        <f>SUMIFS(Dataset!AA:AA,Dataset!F:F,'retorno absoluto'!$D$11,Dataset!AH:AH,"bono de gobierno",Dataset!T:T,"EU",Dataset!J:J,"&lt;"&amp;$D87,Dataset!J:J,"&gt;="&amp;$C87)</f>
        <v>0</v>
      </c>
      <c r="V87" s="83">
        <f>SUMIFS(Dataset!AA:AA,Dataset!F:F,'retorno absoluto'!$D$11,Dataset!AH:AH,"bono de gobierno",Dataset!T:T,"MX",Dataset!J:J,"&lt;"&amp;$D87,Dataset!J:J,"&gt;="&amp;$C87)</f>
        <v>0</v>
      </c>
      <c r="W87" s="83">
        <f>SUMIFS(Dataset!AA:AA,Dataset!F:F,'retorno absoluto'!$D$11,Dataset!AH:AH,"bono de gobierno",Dataset!T:T,"REA",Dataset!J:J,"&lt;"&amp;$D87,Dataset!J:J,"&gt;="&amp;$C87)</f>
        <v>0</v>
      </c>
      <c r="X87" s="83">
        <f>SUMIFS(Dataset!AA:AA,Dataset!F:F,'retorno absoluto'!$D$11,Dataset!AH:AH,"bono de gobierno",Dataset!T:T,"sol",Dataset!J:J,"&lt;"&amp;$D87,Dataset!J:J,"&gt;="&amp;$C87)</f>
        <v>0</v>
      </c>
      <c r="Y87" s="83">
        <f>SUMIFS(Dataset!AA:AA,Dataset!F:F,'retorno absoluto'!$D$11,Dataset!AH:AH,"bono corporativo",Dataset!T:T,"$",Dataset!J:J,"&lt;"&amp;$D87,Dataset!J:J,"&gt;="&amp;$C87)</f>
        <v>0</v>
      </c>
      <c r="Z87" s="83">
        <f>SUMIFS(Dataset!AA:AA,Dataset!F:F,'retorno absoluto'!$D$11,Dataset!AH:AH,"bono corporativo",Dataset!T:T,"UF",Dataset!J:J,"&lt;"&amp;$D87,Dataset!J:J,"&gt;="&amp;$C87)</f>
        <v>0</v>
      </c>
      <c r="AA87" s="83">
        <f>SUMIFS(Dataset!AA:AA,Dataset!F:F,'retorno absoluto'!$D$11,Dataset!J:J,"&lt;"&amp;$D87,Dataset!J:J,"&gt;="&amp;$C87,Dataset!AH:AH,"&lt;&gt;bono corporativo",Dataset!AH:AH,"&lt;&gt;bono de gobierno",Dataset!AH:AH,"&lt;&gt;deposito")</f>
        <v>0</v>
      </c>
      <c r="AB87" s="84">
        <f t="shared" si="9"/>
        <v>0</v>
      </c>
      <c r="AC87" s="85">
        <f>SUMIFS(Dataset!H:H,Dataset!F:F,'retorno absoluto'!$D$11,Dataset!AH:AH,"deposito",Dataset!T:T,"$",Dataset!J:J,"&lt;"&amp;$D87,Dataset!J:J,"&gt;="&amp;$C87)*10</f>
        <v>0</v>
      </c>
      <c r="AD87" s="86">
        <f>SUMIFS(Dataset!H:H,Dataset!F:F,'retorno absoluto'!$D$11,Dataset!AH:AH,"deposito",Dataset!T:T,"UF",Dataset!J:J,"&lt;"&amp;$D87,Dataset!J:J,"&gt;="&amp;$C87)*10</f>
        <v>0</v>
      </c>
      <c r="AE87" s="86">
        <f>SUMIFS(Dataset!H:H,Dataset!F:F,'retorno absoluto'!$D$11,Dataset!AH:AH,"bono de gobierno",Dataset!T:T,"$",Dataset!J:J,"&lt;"&amp;$D87,Dataset!J:J,"&gt;="&amp;$C87)*10</f>
        <v>0</v>
      </c>
      <c r="AF87" s="86">
        <f>SUMIFS(Dataset!H:H,Dataset!F:F,'retorno absoluto'!$D$11,Dataset!AH:AH,"bono de gobierno",Dataset!T:T,"UF",Dataset!J:J,"&lt;"&amp;$D87,Dataset!J:J,"&gt;="&amp;$C87)*10</f>
        <v>0</v>
      </c>
      <c r="AG87" s="86">
        <f>SUMIFS(Dataset!H:H,Dataset!F:F,'retorno absoluto'!$D$11,Dataset!AH:AH,"bono de gobierno",Dataset!T:T,"EU",Dataset!J:J,"&lt;"&amp;$D87,Dataset!J:J,"&gt;="&amp;$C87)*10</f>
        <v>0</v>
      </c>
      <c r="AH87" s="86">
        <f>SUMIFS(Dataset!H:H,Dataset!F:F,'retorno absoluto'!$D$11,Dataset!AH:AH,"bono de gobierno",Dataset!T:T,"MX",Dataset!J:J,"&lt;"&amp;$D87,Dataset!J:J,"&gt;="&amp;$C87)*10</f>
        <v>0</v>
      </c>
      <c r="AI87" s="86">
        <f>SUMIFS(Dataset!H:H,Dataset!F:F,'retorno absoluto'!$D$11,Dataset!AH:AH,"bono de gobierno",Dataset!T:T,"REA",Dataset!J:J,"&lt;"&amp;$D87,Dataset!J:J,"&gt;="&amp;$C87)*10</f>
        <v>0</v>
      </c>
      <c r="AJ87" s="86">
        <f>SUMIFS(Dataset!H:H,Dataset!F:F,'retorno absoluto'!$D$11,Dataset!AH:AH,"bono de gobierno",Dataset!T:T,"sol",Dataset!J:J,"&lt;"&amp;$D87,Dataset!J:J,"&gt;="&amp;$C87)*10</f>
        <v>0</v>
      </c>
      <c r="AK87" s="86">
        <f>SUMIFS(Dataset!H:H,Dataset!F:F,'retorno absoluto'!$D$11,Dataset!AH:AH,"bono corporativo",Dataset!T:T,"$",Dataset!J:J,"&lt;"&amp;$D87,Dataset!J:J,"&gt;="&amp;$C87)*10</f>
        <v>0</v>
      </c>
      <c r="AL87" s="86">
        <f>SUMIFS(Dataset!H:H,Dataset!F:F,'retorno absoluto'!$D$11,Dataset!AH:AH,"bono corporativo",Dataset!T:T,"UF",Dataset!J:J,"&lt;"&amp;$D87,Dataset!J:J,"&gt;="&amp;$C87)*10</f>
        <v>0</v>
      </c>
      <c r="AM87" s="86">
        <f>SUMIFS(Dataset!H:H,Dataset!F:F,'retorno absoluto'!$D$11,Dataset!J:J,"&lt;"&amp;$D87,Dataset!J:J,"&gt;="&amp;$C87,Dataset!AH:AH,"&lt;&gt;bono corporativo",Dataset!AH:AH,"&lt;&gt;bono de gobierno",Dataset!AH:AH,"&lt;&gt;deposito")*10</f>
        <v>0</v>
      </c>
      <c r="AN87" s="87">
        <f t="shared" si="10"/>
        <v>0</v>
      </c>
    </row>
    <row r="88" spans="3:40" ht="27" customHeight="1" x14ac:dyDescent="0.3">
      <c r="C88" s="61">
        <v>13.5</v>
      </c>
      <c r="D88" s="81">
        <v>14.5</v>
      </c>
      <c r="E88" s="82">
        <f>SUMIFS(Dataset!AK:AK,Dataset!F:F,'retorno absoluto'!$D$11,Dataset!AH:AH,"deposito",Dataset!T:T,"$",Dataset!J:J,"&lt;"&amp;$D88,Dataset!J:J,"&gt;="&amp;$C88)</f>
        <v>0</v>
      </c>
      <c r="F88" s="83">
        <f>SUMIFS(Dataset!AK:AK,Dataset!F:F,'retorno absoluto'!$D$11,Dataset!AH:AH,"deposito",Dataset!T:T,"UF",Dataset!J:J,"&lt;"&amp;$D88,Dataset!J:J,"&gt;="&amp;$C88)</f>
        <v>0</v>
      </c>
      <c r="G88" s="83">
        <f>SUMIFS(Dataset!AK:AK,Dataset!F:F,'retorno absoluto'!$D$11,Dataset!AH:AH,"bono de gobierno",Dataset!T:T,"$",Dataset!J:J,"&lt;"&amp;$D88,Dataset!J:J,"&gt;="&amp;$C88)</f>
        <v>0</v>
      </c>
      <c r="H88" s="83">
        <f>SUMIFS(Dataset!AK:AK,Dataset!F:F,'retorno absoluto'!$D$11,Dataset!AH:AH,"bono de gobierno",Dataset!T:T,"UF",Dataset!J:J,"&lt;"&amp;$D88,Dataset!J:J,"&gt;="&amp;$C88)</f>
        <v>0</v>
      </c>
      <c r="I88" s="83">
        <f>SUMIFS(Dataset!AK:AK,Dataset!F:F,'retorno absoluto'!$D$11,Dataset!AH:AH,"bono de gobierno",Dataset!T:T,"eu",Dataset!J:J,"&lt;"&amp;$D88,Dataset!J:J,"&gt;="&amp;$C88)</f>
        <v>0</v>
      </c>
      <c r="J88" s="83">
        <f>SUMIFS(Dataset!AK:AK,Dataset!F:F,'retorno absoluto'!$D$11,Dataset!AH:AH,"bono de gobierno",Dataset!T:T,"mx",Dataset!J:J,"&lt;"&amp;$D88,Dataset!J:J,"&gt;="&amp;$C88)</f>
        <v>0</v>
      </c>
      <c r="K88" s="83">
        <f>SUMIFS(Dataset!AK:AK,Dataset!F:F,'retorno absoluto'!$D$11,Dataset!AH:AH,"bono de gobierno",Dataset!T:T,"rea",Dataset!J:J,"&lt;"&amp;$D88,Dataset!J:J,"&gt;="&amp;$C88)</f>
        <v>0</v>
      </c>
      <c r="L88" s="83">
        <f>SUMIFS(Dataset!AK:AK,Dataset!F:F,'retorno absoluto'!$D$11,Dataset!AH:AH,"bono de gobierno",Dataset!T:T,"sol",Dataset!J:J,"&lt;"&amp;$D88,Dataset!J:J,"&gt;="&amp;$C88)</f>
        <v>0</v>
      </c>
      <c r="M88" s="83">
        <f>SUMIFS(Dataset!AK:AK,Dataset!F:F,'retorno absoluto'!$D$11,Dataset!AH:AH,"bono corporativo",Dataset!T:T,"$",Dataset!J:J,"&lt;"&amp;$D88,Dataset!J:J,"&gt;="&amp;$C88)</f>
        <v>0</v>
      </c>
      <c r="N88" s="83">
        <f>SUMIFS(Dataset!AK:AK,Dataset!F:F,'retorno absoluto'!$D$11,Dataset!AH:AH,"bono corporativo",Dataset!T:T,"UF",Dataset!J:J,"&lt;"&amp;$D88,Dataset!J:J,"&gt;="&amp;$C88)</f>
        <v>0</v>
      </c>
      <c r="O88" s="83">
        <f>SUMIFS(Dataset!AK:AK,Dataset!F:F,'retorno absoluto'!$D$11,Dataset!J:J,"&lt;"&amp;$D88,Dataset!J:J,"&gt;="&amp;$C88,Dataset!AH:AH,"&lt;&gt;bono corporativo",Dataset!AH:AH,"&lt;&gt;bono de gobierno",Dataset!AH:AH,"&lt;&gt;deposito")</f>
        <v>0</v>
      </c>
      <c r="P88" s="84">
        <f t="shared" si="8"/>
        <v>0</v>
      </c>
      <c r="Q88" s="82">
        <f>SUMIFS(Dataset!AA:AA,Dataset!F:F,'retorno absoluto'!$D$11,Dataset!AH:AH,"deposito",Dataset!T:T,"$",Dataset!J:J,"&lt;"&amp;$D88,Dataset!J:J,"&gt;="&amp;$C88)</f>
        <v>0</v>
      </c>
      <c r="R88" s="83">
        <f>SUMIFS(Dataset!AA:AA,Dataset!F:F,'retorno absoluto'!$D$11,Dataset!AH:AH,"deposito",Dataset!T:T,"UF",Dataset!J:J,"&lt;"&amp;$D88,Dataset!J:J,"&gt;="&amp;$C88)</f>
        <v>0</v>
      </c>
      <c r="S88" s="83">
        <f>SUMIFS(Dataset!AA:AA,Dataset!F:F,'retorno absoluto'!$D$11,Dataset!AH:AH,"bono de gobierno",Dataset!T:T,"$",Dataset!J:J,"&lt;"&amp;$D88,Dataset!J:J,"&gt;="&amp;$C88)</f>
        <v>0</v>
      </c>
      <c r="T88" s="83">
        <f>SUMIFS(Dataset!AA:AA,Dataset!F:F,'retorno absoluto'!$D$11,Dataset!AH:AH,"bono de gobierno",Dataset!T:T,"UF",Dataset!J:J,"&lt;"&amp;$D88,Dataset!J:J,"&gt;="&amp;$C88)</f>
        <v>0</v>
      </c>
      <c r="U88" s="83">
        <f>SUMIFS(Dataset!AA:AA,Dataset!F:F,'retorno absoluto'!$D$11,Dataset!AH:AH,"bono de gobierno",Dataset!T:T,"EU",Dataset!J:J,"&lt;"&amp;$D88,Dataset!J:J,"&gt;="&amp;$C88)</f>
        <v>0</v>
      </c>
      <c r="V88" s="83">
        <f>SUMIFS(Dataset!AA:AA,Dataset!F:F,'retorno absoluto'!$D$11,Dataset!AH:AH,"bono de gobierno",Dataset!T:T,"MX",Dataset!J:J,"&lt;"&amp;$D88,Dataset!J:J,"&gt;="&amp;$C88)</f>
        <v>0</v>
      </c>
      <c r="W88" s="83">
        <f>SUMIFS(Dataset!AA:AA,Dataset!F:F,'retorno absoluto'!$D$11,Dataset!AH:AH,"bono de gobierno",Dataset!T:T,"REA",Dataset!J:J,"&lt;"&amp;$D88,Dataset!J:J,"&gt;="&amp;$C88)</f>
        <v>0</v>
      </c>
      <c r="X88" s="83">
        <f>SUMIFS(Dataset!AA:AA,Dataset!F:F,'retorno absoluto'!$D$11,Dataset!AH:AH,"bono de gobierno",Dataset!T:T,"sol",Dataset!J:J,"&lt;"&amp;$D88,Dataset!J:J,"&gt;="&amp;$C88)</f>
        <v>0</v>
      </c>
      <c r="Y88" s="83">
        <f>SUMIFS(Dataset!AA:AA,Dataset!F:F,'retorno absoluto'!$D$11,Dataset!AH:AH,"bono corporativo",Dataset!T:T,"$",Dataset!J:J,"&lt;"&amp;$D88,Dataset!J:J,"&gt;="&amp;$C88)</f>
        <v>0</v>
      </c>
      <c r="Z88" s="83">
        <f>SUMIFS(Dataset!AA:AA,Dataset!F:F,'retorno absoluto'!$D$11,Dataset!AH:AH,"bono corporativo",Dataset!T:T,"UF",Dataset!J:J,"&lt;"&amp;$D88,Dataset!J:J,"&gt;="&amp;$C88)</f>
        <v>0</v>
      </c>
      <c r="AA88" s="83">
        <f>SUMIFS(Dataset!AA:AA,Dataset!F:F,'retorno absoluto'!$D$11,Dataset!J:J,"&lt;"&amp;$D88,Dataset!J:J,"&gt;="&amp;$C88,Dataset!AH:AH,"&lt;&gt;bono corporativo",Dataset!AH:AH,"&lt;&gt;bono de gobierno",Dataset!AH:AH,"&lt;&gt;deposito")</f>
        <v>0</v>
      </c>
      <c r="AB88" s="84">
        <f t="shared" si="9"/>
        <v>0</v>
      </c>
      <c r="AC88" s="85">
        <f>SUMIFS(Dataset!H:H,Dataset!F:F,'retorno absoluto'!$D$11,Dataset!AH:AH,"deposito",Dataset!T:T,"$",Dataset!J:J,"&lt;"&amp;$D88,Dataset!J:J,"&gt;="&amp;$C88)*10</f>
        <v>0</v>
      </c>
      <c r="AD88" s="86">
        <f>SUMIFS(Dataset!H:H,Dataset!F:F,'retorno absoluto'!$D$11,Dataset!AH:AH,"deposito",Dataset!T:T,"UF",Dataset!J:J,"&lt;"&amp;$D88,Dataset!J:J,"&gt;="&amp;$C88)*10</f>
        <v>0</v>
      </c>
      <c r="AE88" s="86">
        <f>SUMIFS(Dataset!H:H,Dataset!F:F,'retorno absoluto'!$D$11,Dataset!AH:AH,"bono de gobierno",Dataset!T:T,"$",Dataset!J:J,"&lt;"&amp;$D88,Dataset!J:J,"&gt;="&amp;$C88)*10</f>
        <v>0</v>
      </c>
      <c r="AF88" s="86">
        <f>SUMIFS(Dataset!H:H,Dataset!F:F,'retorno absoluto'!$D$11,Dataset!AH:AH,"bono de gobierno",Dataset!T:T,"UF",Dataset!J:J,"&lt;"&amp;$D88,Dataset!J:J,"&gt;="&amp;$C88)*10</f>
        <v>0</v>
      </c>
      <c r="AG88" s="86">
        <f>SUMIFS(Dataset!H:H,Dataset!F:F,'retorno absoluto'!$D$11,Dataset!AH:AH,"bono de gobierno",Dataset!T:T,"EU",Dataset!J:J,"&lt;"&amp;$D88,Dataset!J:J,"&gt;="&amp;$C88)*10</f>
        <v>0</v>
      </c>
      <c r="AH88" s="86">
        <f>SUMIFS(Dataset!H:H,Dataset!F:F,'retorno absoluto'!$D$11,Dataset!AH:AH,"bono de gobierno",Dataset!T:T,"MX",Dataset!J:J,"&lt;"&amp;$D88,Dataset!J:J,"&gt;="&amp;$C88)*10</f>
        <v>0</v>
      </c>
      <c r="AI88" s="86">
        <f>SUMIFS(Dataset!H:H,Dataset!F:F,'retorno absoluto'!$D$11,Dataset!AH:AH,"bono de gobierno",Dataset!T:T,"REA",Dataset!J:J,"&lt;"&amp;$D88,Dataset!J:J,"&gt;="&amp;$C88)*10</f>
        <v>0</v>
      </c>
      <c r="AJ88" s="86">
        <f>SUMIFS(Dataset!H:H,Dataset!F:F,'retorno absoluto'!$D$11,Dataset!AH:AH,"bono de gobierno",Dataset!T:T,"sol",Dataset!J:J,"&lt;"&amp;$D88,Dataset!J:J,"&gt;="&amp;$C88)*10</f>
        <v>0</v>
      </c>
      <c r="AK88" s="86">
        <f>SUMIFS(Dataset!H:H,Dataset!F:F,'retorno absoluto'!$D$11,Dataset!AH:AH,"bono corporativo",Dataset!T:T,"$",Dataset!J:J,"&lt;"&amp;$D88,Dataset!J:J,"&gt;="&amp;$C88)*10</f>
        <v>0</v>
      </c>
      <c r="AL88" s="86">
        <f>SUMIFS(Dataset!H:H,Dataset!F:F,'retorno absoluto'!$D$11,Dataset!AH:AH,"bono corporativo",Dataset!T:T,"UF",Dataset!J:J,"&lt;"&amp;$D88,Dataset!J:J,"&gt;="&amp;$C88)*10</f>
        <v>0</v>
      </c>
      <c r="AM88" s="86">
        <f>SUMIFS(Dataset!H:H,Dataset!F:F,'retorno absoluto'!$D$11,Dataset!J:J,"&lt;"&amp;$D88,Dataset!J:J,"&gt;="&amp;$C88,Dataset!AH:AH,"&lt;&gt;bono corporativo",Dataset!AH:AH,"&lt;&gt;bono de gobierno",Dataset!AH:AH,"&lt;&gt;deposito")*10</f>
        <v>0</v>
      </c>
      <c r="AN88" s="87">
        <f t="shared" si="10"/>
        <v>0</v>
      </c>
    </row>
    <row r="89" spans="3:40" ht="27" customHeight="1" x14ac:dyDescent="0.3">
      <c r="C89" s="61">
        <v>14.5</v>
      </c>
      <c r="D89" s="81">
        <v>100</v>
      </c>
      <c r="E89" s="88">
        <f>SUMIFS(Dataset!AK:AK,Dataset!F:F,'retorno absoluto'!$D$11,Dataset!AH:AH,"deposito",Dataset!T:T,"$",Dataset!J:J,"&lt;"&amp;$D89,Dataset!J:J,"&gt;="&amp;$C89)</f>
        <v>0</v>
      </c>
      <c r="F89" s="89">
        <f>SUMIFS(Dataset!AK:AK,Dataset!F:F,'retorno absoluto'!$D$11,Dataset!AH:AH,"deposito",Dataset!T:T,"UF",Dataset!J:J,"&lt;"&amp;$D89,Dataset!J:J,"&gt;="&amp;$C89)</f>
        <v>0</v>
      </c>
      <c r="G89" s="89">
        <f>SUMIFS(Dataset!AK:AK,Dataset!F:F,'retorno absoluto'!$D$11,Dataset!AH:AH,"bono de gobierno",Dataset!T:T,"$",Dataset!J:J,"&lt;"&amp;$D89,Dataset!J:J,"&gt;="&amp;$C89)</f>
        <v>0</v>
      </c>
      <c r="H89" s="89">
        <f>SUMIFS(Dataset!AK:AK,Dataset!F:F,'retorno absoluto'!$D$11,Dataset!AH:AH,"bono de gobierno",Dataset!T:T,"UF",Dataset!J:J,"&lt;"&amp;$D89,Dataset!J:J,"&gt;="&amp;$C89)</f>
        <v>0</v>
      </c>
      <c r="I89" s="89">
        <f>SUMIFS(Dataset!AK:AK,Dataset!F:F,'retorno absoluto'!$D$11,Dataset!AH:AH,"bono de gobierno",Dataset!T:T,"eu",Dataset!J:J,"&lt;"&amp;$D89,Dataset!J:J,"&gt;="&amp;$C89)</f>
        <v>0</v>
      </c>
      <c r="J89" s="89">
        <f>SUMIFS(Dataset!AK:AK,Dataset!F:F,'retorno absoluto'!$D$11,Dataset!AH:AH,"bono de gobierno",Dataset!T:T,"mx",Dataset!J:J,"&lt;"&amp;$D89,Dataset!J:J,"&gt;="&amp;$C89)</f>
        <v>0</v>
      </c>
      <c r="K89" s="89">
        <f>SUMIFS(Dataset!AK:AK,Dataset!F:F,'retorno absoluto'!$D$11,Dataset!AH:AH,"bono de gobierno",Dataset!T:T,"rea",Dataset!J:J,"&lt;"&amp;$D89,Dataset!J:J,"&gt;="&amp;$C89)</f>
        <v>0</v>
      </c>
      <c r="L89" s="89">
        <f>SUMIFS(Dataset!AK:AK,Dataset!F:F,'retorno absoluto'!$D$11,Dataset!AH:AH,"bono de gobierno",Dataset!T:T,"sol",Dataset!J:J,"&lt;"&amp;$D89,Dataset!J:J,"&gt;="&amp;$C89)</f>
        <v>0</v>
      </c>
      <c r="M89" s="89">
        <f>SUMIFS(Dataset!AK:AK,Dataset!F:F,'retorno absoluto'!$D$11,Dataset!AH:AH,"bono corporativo",Dataset!T:T,"$",Dataset!J:J,"&lt;"&amp;$D89,Dataset!J:J,"&gt;="&amp;$C89)</f>
        <v>0</v>
      </c>
      <c r="N89" s="89">
        <f>SUMIFS(Dataset!AK:AK,Dataset!F:F,'retorno absoluto'!$D$11,Dataset!AH:AH,"bono corporativo",Dataset!T:T,"UF",Dataset!J:J,"&lt;"&amp;$D89,Dataset!J:J,"&gt;="&amp;$C89)</f>
        <v>0</v>
      </c>
      <c r="O89" s="89">
        <f>SUMIFS(Dataset!AK:AK,Dataset!F:F,'retorno absoluto'!$D$11,Dataset!J:J,"&lt;"&amp;$D89,Dataset!J:J,"&gt;="&amp;$C89,Dataset!AH:AH,"&lt;&gt;bono corporativo",Dataset!AH:AH,"&lt;&gt;bono de gobierno",Dataset!AH:AH,"&lt;&gt;deposito")</f>
        <v>0</v>
      </c>
      <c r="P89" s="90">
        <f t="shared" si="8"/>
        <v>0</v>
      </c>
      <c r="Q89" s="88">
        <f>SUMIFS(Dataset!AA:AA,Dataset!F:F,'retorno absoluto'!$D$11,Dataset!AH:AH,"deposito",Dataset!T:T,"$",Dataset!J:J,"&lt;"&amp;$D89,Dataset!J:J,"&gt;="&amp;$C89)</f>
        <v>0</v>
      </c>
      <c r="R89" s="89">
        <f>SUMIFS(Dataset!AA:AA,Dataset!F:F,'retorno absoluto'!$D$11,Dataset!AH:AH,"deposito",Dataset!T:T,"UF",Dataset!J:J,"&lt;"&amp;$D89,Dataset!J:J,"&gt;="&amp;$C89)</f>
        <v>0</v>
      </c>
      <c r="S89" s="89">
        <f>SUMIFS(Dataset!AA:AA,Dataset!F:F,'retorno absoluto'!$D$11,Dataset!AH:AH,"bono de gobierno",Dataset!T:T,"$",Dataset!J:J,"&lt;"&amp;$D89,Dataset!J:J,"&gt;="&amp;$C89)</f>
        <v>0</v>
      </c>
      <c r="T89" s="89">
        <f>SUMIFS(Dataset!AA:AA,Dataset!F:F,'retorno absoluto'!$D$11,Dataset!AH:AH,"bono de gobierno",Dataset!T:T,"UF",Dataset!J:J,"&lt;"&amp;$D89,Dataset!J:J,"&gt;="&amp;$C89)</f>
        <v>0</v>
      </c>
      <c r="U89" s="89">
        <f>SUMIFS(Dataset!AA:AA,Dataset!F:F,'retorno absoluto'!$D$11,Dataset!AH:AH,"bono de gobierno",Dataset!T:T,"EU",Dataset!J:J,"&lt;"&amp;$D89,Dataset!J:J,"&gt;="&amp;$C89)</f>
        <v>0</v>
      </c>
      <c r="V89" s="89">
        <f>SUMIFS(Dataset!AA:AA,Dataset!F:F,'retorno absoluto'!$D$11,Dataset!AH:AH,"bono de gobierno",Dataset!T:T,"MX",Dataset!J:J,"&lt;"&amp;$D89,Dataset!J:J,"&gt;="&amp;$C89)</f>
        <v>0</v>
      </c>
      <c r="W89" s="89">
        <f>SUMIFS(Dataset!AA:AA,Dataset!F:F,'retorno absoluto'!$D$11,Dataset!AH:AH,"bono de gobierno",Dataset!T:T,"REA",Dataset!J:J,"&lt;"&amp;$D89,Dataset!J:J,"&gt;="&amp;$C89)</f>
        <v>0</v>
      </c>
      <c r="X89" s="89">
        <f>SUMIFS(Dataset!AA:AA,Dataset!F:F,'retorno absoluto'!$D$11,Dataset!AH:AH,"bono de gobierno",Dataset!T:T,"sol",Dataset!J:J,"&lt;"&amp;$D89,Dataset!J:J,"&gt;="&amp;$C89)</f>
        <v>0</v>
      </c>
      <c r="Y89" s="89">
        <f>SUMIFS(Dataset!AA:AA,Dataset!F:F,'retorno absoluto'!$D$11,Dataset!AH:AH,"bono corporativo",Dataset!T:T,"$",Dataset!J:J,"&lt;"&amp;$D89,Dataset!J:J,"&gt;="&amp;$C89)</f>
        <v>0</v>
      </c>
      <c r="Z89" s="89">
        <f>SUMIFS(Dataset!AA:AA,Dataset!F:F,'retorno absoluto'!$D$11,Dataset!AH:AH,"bono corporativo",Dataset!T:T,"UF",Dataset!J:J,"&lt;"&amp;$D89,Dataset!J:J,"&gt;="&amp;$C89)</f>
        <v>0</v>
      </c>
      <c r="AA89" s="89">
        <f>SUMIFS(Dataset!AA:AA,Dataset!F:F,'retorno absoluto'!$D$11,Dataset!J:J,"&lt;"&amp;$D89,Dataset!J:J,"&gt;="&amp;$C89,Dataset!AH:AH,"&lt;&gt;bono corporativo",Dataset!AH:AH,"&lt;&gt;bono de gobierno",Dataset!AH:AH,"&lt;&gt;deposito")</f>
        <v>0</v>
      </c>
      <c r="AB89" s="90">
        <f t="shared" si="9"/>
        <v>0</v>
      </c>
      <c r="AC89" s="91">
        <f>SUMIFS(Dataset!H:H,Dataset!F:F,'retorno absoluto'!$D$11,Dataset!AH:AH,"deposito",Dataset!T:T,"$",Dataset!J:J,"&lt;"&amp;$D89,Dataset!J:J,"&gt;="&amp;$C89)*10</f>
        <v>0</v>
      </c>
      <c r="AD89" s="92">
        <f>SUMIFS(Dataset!H:H,Dataset!F:F,'retorno absoluto'!$D$11,Dataset!AH:AH,"deposito",Dataset!T:T,"UF",Dataset!J:J,"&lt;"&amp;$D89,Dataset!J:J,"&gt;="&amp;$C89)*10</f>
        <v>0</v>
      </c>
      <c r="AE89" s="92">
        <f>SUMIFS(Dataset!H:H,Dataset!F:F,'retorno absoluto'!$D$11,Dataset!AH:AH,"bono de gobierno",Dataset!T:T,"$",Dataset!J:J,"&lt;"&amp;$D89,Dataset!J:J,"&gt;="&amp;$C89)*10</f>
        <v>0</v>
      </c>
      <c r="AF89" s="92">
        <f>SUMIFS(Dataset!H:H,Dataset!F:F,'retorno absoluto'!$D$11,Dataset!AH:AH,"bono de gobierno",Dataset!T:T,"UF",Dataset!J:J,"&lt;"&amp;$D89,Dataset!J:J,"&gt;="&amp;$C89)*10</f>
        <v>0</v>
      </c>
      <c r="AG89" s="92">
        <f>SUMIFS(Dataset!H:H,Dataset!F:F,'retorno absoluto'!$D$11,Dataset!AH:AH,"bono de gobierno",Dataset!T:T,"EU",Dataset!J:J,"&lt;"&amp;$D89,Dataset!J:J,"&gt;="&amp;$C89)*10</f>
        <v>0</v>
      </c>
      <c r="AH89" s="92">
        <f>SUMIFS(Dataset!H:H,Dataset!F:F,'retorno absoluto'!$D$11,Dataset!AH:AH,"bono de gobierno",Dataset!T:T,"MX",Dataset!J:J,"&lt;"&amp;$D89,Dataset!J:J,"&gt;="&amp;$C89)*10</f>
        <v>0</v>
      </c>
      <c r="AI89" s="92">
        <f>SUMIFS(Dataset!H:H,Dataset!F:F,'retorno absoluto'!$D$11,Dataset!AH:AH,"bono de gobierno",Dataset!T:T,"REA",Dataset!J:J,"&lt;"&amp;$D89,Dataset!J:J,"&gt;="&amp;$C89)*10</f>
        <v>0</v>
      </c>
      <c r="AJ89" s="92">
        <f>SUMIFS(Dataset!H:H,Dataset!F:F,'retorno absoluto'!$D$11,Dataset!AH:AH,"bono de gobierno",Dataset!T:T,"sol",Dataset!J:J,"&lt;"&amp;$D89,Dataset!J:J,"&gt;="&amp;$C89)*10</f>
        <v>0</v>
      </c>
      <c r="AK89" s="92">
        <f>SUMIFS(Dataset!H:H,Dataset!F:F,'retorno absoluto'!$D$11,Dataset!AH:AH,"bono corporativo",Dataset!T:T,"$",Dataset!J:J,"&lt;"&amp;$D89,Dataset!J:J,"&gt;="&amp;$C89)*10</f>
        <v>0</v>
      </c>
      <c r="AL89" s="92">
        <f>SUMIFS(Dataset!H:H,Dataset!F:F,'retorno absoluto'!$D$11,Dataset!AH:AH,"bono corporativo",Dataset!T:T,"UF",Dataset!J:J,"&lt;"&amp;$D89,Dataset!J:J,"&gt;="&amp;$C89)*10</f>
        <v>0</v>
      </c>
      <c r="AM89" s="92">
        <f>SUMIFS(Dataset!H:H,Dataset!F:F,'retorno absoluto'!$D$11,Dataset!J:J,"&lt;"&amp;$D89,Dataset!J:J,"&gt;="&amp;$C89,Dataset!AH:AH,"&lt;&gt;bono corporativo",Dataset!AH:AH,"&lt;&gt;bono de gobierno",Dataset!AH:AH,"&lt;&gt;deposito")*10</f>
        <v>0</v>
      </c>
      <c r="AN89" s="93">
        <f t="shared" si="10"/>
        <v>0</v>
      </c>
    </row>
    <row r="90" spans="3:40" ht="39" customHeight="1" x14ac:dyDescent="0.3">
      <c r="C90" s="179" t="s">
        <v>80</v>
      </c>
      <c r="D90" s="180"/>
      <c r="E90" s="83">
        <f t="shared" ref="E90:O90" si="11">SUM(E74:E89)</f>
        <v>0</v>
      </c>
      <c r="F90" s="83">
        <f t="shared" si="11"/>
        <v>0</v>
      </c>
      <c r="G90" s="83">
        <f t="shared" si="11"/>
        <v>0</v>
      </c>
      <c r="H90" s="83">
        <f t="shared" si="11"/>
        <v>0</v>
      </c>
      <c r="I90" s="83">
        <f t="shared" si="11"/>
        <v>0</v>
      </c>
      <c r="J90" s="83">
        <f t="shared" si="11"/>
        <v>0</v>
      </c>
      <c r="K90" s="83">
        <f t="shared" si="11"/>
        <v>0</v>
      </c>
      <c r="L90" s="83">
        <f t="shared" si="11"/>
        <v>0</v>
      </c>
      <c r="M90" s="83">
        <f t="shared" si="11"/>
        <v>0</v>
      </c>
      <c r="N90" s="83">
        <f t="shared" si="11"/>
        <v>0</v>
      </c>
      <c r="O90" s="83">
        <f t="shared" si="11"/>
        <v>0</v>
      </c>
      <c r="P90" s="84">
        <f t="shared" si="8"/>
        <v>0</v>
      </c>
      <c r="Q90" s="83">
        <f t="shared" ref="Q90:AA90" si="12">SUM(Q74:Q89)</f>
        <v>0</v>
      </c>
      <c r="R90" s="83">
        <f t="shared" si="12"/>
        <v>0</v>
      </c>
      <c r="S90" s="83">
        <f t="shared" si="12"/>
        <v>0</v>
      </c>
      <c r="T90" s="83">
        <f t="shared" si="12"/>
        <v>0</v>
      </c>
      <c r="U90" s="83">
        <f t="shared" si="12"/>
        <v>0</v>
      </c>
      <c r="V90" s="83">
        <f t="shared" si="12"/>
        <v>0</v>
      </c>
      <c r="W90" s="83">
        <f t="shared" si="12"/>
        <v>0</v>
      </c>
      <c r="X90" s="83">
        <f t="shared" si="12"/>
        <v>0</v>
      </c>
      <c r="Y90" s="83">
        <f t="shared" si="12"/>
        <v>0</v>
      </c>
      <c r="Z90" s="83">
        <f t="shared" si="12"/>
        <v>0</v>
      </c>
      <c r="AA90" s="83">
        <f t="shared" si="12"/>
        <v>0</v>
      </c>
      <c r="AB90" s="84">
        <f t="shared" si="9"/>
        <v>0</v>
      </c>
      <c r="AC90" s="86">
        <f t="shared" ref="AC90:AM90" si="13">SUM(AC74:AC89)</f>
        <v>0</v>
      </c>
      <c r="AD90" s="86">
        <f t="shared" si="13"/>
        <v>0</v>
      </c>
      <c r="AE90" s="86">
        <f t="shared" si="13"/>
        <v>0</v>
      </c>
      <c r="AF90" s="86">
        <f t="shared" si="13"/>
        <v>0</v>
      </c>
      <c r="AG90" s="86">
        <f t="shared" si="13"/>
        <v>0</v>
      </c>
      <c r="AH90" s="86">
        <f t="shared" si="13"/>
        <v>0</v>
      </c>
      <c r="AI90" s="86">
        <f t="shared" si="13"/>
        <v>0</v>
      </c>
      <c r="AJ90" s="86">
        <f t="shared" si="13"/>
        <v>0</v>
      </c>
      <c r="AK90" s="86">
        <f t="shared" si="13"/>
        <v>0</v>
      </c>
      <c r="AL90" s="86">
        <f t="shared" si="13"/>
        <v>0</v>
      </c>
      <c r="AM90" s="86">
        <f t="shared" si="13"/>
        <v>0</v>
      </c>
      <c r="AN90" s="87">
        <f t="shared" si="10"/>
        <v>0</v>
      </c>
    </row>
    <row r="91" spans="3:40" ht="40.5" customHeight="1" x14ac:dyDescent="0.3"/>
    <row r="92" spans="3:40" ht="40.5" customHeight="1" x14ac:dyDescent="0.3">
      <c r="AD92" s="176" t="s">
        <v>230</v>
      </c>
      <c r="AE92" s="176"/>
      <c r="AF92" s="176"/>
      <c r="AG92" s="176"/>
      <c r="AH92" s="176"/>
      <c r="AI92" s="176"/>
      <c r="AJ92" s="176"/>
      <c r="AK92" s="176"/>
    </row>
    <row r="93" spans="3:40" ht="40.5" customHeight="1" x14ac:dyDescent="0.3">
      <c r="AD93" s="69"/>
    </row>
    <row r="94" spans="3:40" ht="40.5" customHeight="1" x14ac:dyDescent="0.3">
      <c r="AD94" s="177" t="s">
        <v>68</v>
      </c>
      <c r="AE94" s="178"/>
      <c r="AF94" s="94" t="s">
        <v>72</v>
      </c>
      <c r="AG94" s="94" t="s">
        <v>73</v>
      </c>
      <c r="AH94" s="94" t="s">
        <v>86</v>
      </c>
      <c r="AI94" s="94" t="s">
        <v>109</v>
      </c>
      <c r="AJ94" s="94" t="s">
        <v>110</v>
      </c>
      <c r="AK94" s="94"/>
    </row>
    <row r="95" spans="3:40" ht="31.5" customHeight="1" x14ac:dyDescent="0.3">
      <c r="AD95" s="72">
        <v>0</v>
      </c>
      <c r="AE95" s="97">
        <v>15</v>
      </c>
      <c r="AF95" s="98">
        <f>SUMIFS(Dataset!AJ:AJ,Dataset!F:F,'retorno absoluto'!$D$11,Dataset!AH:AH,"deposito",Dataset!T:T,"$",Dataset!J:J,"&lt;"&amp;$AE95/365,Dataset!J:J,"&gt;="&amp;$AD95/365)</f>
        <v>0</v>
      </c>
      <c r="AG95" s="98">
        <f>SUMIFS(Dataset!AJ:AJ,Dataset!F:F,'retorno absoluto'!$D$11,Dataset!AH:AH,"deposito",Dataset!T:T,"uf",Dataset!J:J,"&lt;"&amp;$AE95/365,Dataset!J:J,"&gt;="&amp;$AD95/365)</f>
        <v>0</v>
      </c>
      <c r="AH95" s="98">
        <f>SUMIFS(Dataset!AJ:AJ,Dataset!F:F,'retorno absoluto'!$D$11,Dataset!AH:AH,"deposito",Dataset!T:T,"us$",Dataset!J:J,"&lt;"&amp;$AE95/365,Dataset!J:J,"&gt;="&amp;$AD95/365)</f>
        <v>0</v>
      </c>
      <c r="AI95" s="98">
        <f>SUMIFS(Dataset!AJ:AJ,Dataset!F:F,'retorno absoluto'!$D$11,Dataset!AH:AH,"factura",Dataset!J:J,"&lt;"&amp;$AE95/365,Dataset!J:J,"&gt;="&amp;$AD95/365)</f>
        <v>0</v>
      </c>
      <c r="AJ95" s="99">
        <f>SUMIFS(Dataset!AJ:AJ,Dataset!F:F,'retorno absoluto'!$D$11,Dataset!AH:AH,"letra hipotecaria",Dataset!J:J,"&lt;"&amp;$AE95/365,Dataset!J:J,"&gt;="&amp;$AD95/365)</f>
        <v>0</v>
      </c>
      <c r="AK95" s="84">
        <f>SUM(AF95:AJ95)</f>
        <v>0</v>
      </c>
    </row>
    <row r="96" spans="3:40" ht="31.5" customHeight="1" x14ac:dyDescent="0.3">
      <c r="AD96" s="61">
        <v>15</v>
      </c>
      <c r="AE96" s="100">
        <v>30</v>
      </c>
      <c r="AF96" s="101">
        <f>SUMIFS(Dataset!AJ:AJ,Dataset!F:F,'retorno absoluto'!$D$11,Dataset!AH:AH,"deposito",Dataset!T:T,"$",Dataset!J:J,"&lt;"&amp;$AE96/365,Dataset!J:J,"&gt;="&amp;$AD96/365)</f>
        <v>0</v>
      </c>
      <c r="AG96" s="101">
        <f>SUMIFS(Dataset!AJ:AJ,Dataset!F:F,'retorno absoluto'!$D$11,Dataset!AH:AH,"deposito",Dataset!T:T,"uf",Dataset!J:J,"&lt;"&amp;$AE96/365,Dataset!J:J,"&gt;="&amp;$AD96/365)</f>
        <v>0</v>
      </c>
      <c r="AH96" s="101">
        <f>SUMIFS(Dataset!AJ:AJ,Dataset!F:F,'retorno absoluto'!$D$11,Dataset!AH:AH,"deposito",Dataset!T:T,"us$",Dataset!J:J,"&lt;"&amp;$AE96/365,Dataset!J:J,"&gt;="&amp;$AD96/365)</f>
        <v>0</v>
      </c>
      <c r="AI96" s="101">
        <f>SUMIFS(Dataset!AJ:AJ,Dataset!F:F,'retorno absoluto'!$D$11,Dataset!AH:AH,"factura",Dataset!J:J,"&lt;"&amp;$AE96/365,Dataset!J:J,"&gt;="&amp;$AD96/365)</f>
        <v>0</v>
      </c>
      <c r="AJ96" s="102">
        <f>SUMIFS(Dataset!AJ:AJ,Dataset!F:F,'retorno absoluto'!$D$11,Dataset!AH:AH,"letra hipotecaria",Dataset!J:J,"&lt;"&amp;$AE96/365,Dataset!J:J,"&gt;="&amp;$AD96/365)</f>
        <v>0</v>
      </c>
      <c r="AK96" s="84">
        <f t="shared" ref="AK96:AK122" si="14">SUM(AF96:AJ96)</f>
        <v>0</v>
      </c>
    </row>
    <row r="97" spans="30:37" ht="31.5" customHeight="1" x14ac:dyDescent="0.3">
      <c r="AD97" s="61">
        <v>30</v>
      </c>
      <c r="AE97" s="100">
        <v>45</v>
      </c>
      <c r="AF97" s="101">
        <f>SUMIFS(Dataset!AJ:AJ,Dataset!F:F,'retorno absoluto'!$D$11,Dataset!AH:AH,"deposito",Dataset!T:T,"$",Dataset!J:J,"&lt;"&amp;$AE97/365,Dataset!J:J,"&gt;="&amp;$AD97/365)</f>
        <v>0</v>
      </c>
      <c r="AG97" s="101">
        <f>SUMIFS(Dataset!AJ:AJ,Dataset!F:F,'retorno absoluto'!$D$11,Dataset!AH:AH,"deposito",Dataset!T:T,"uf",Dataset!J:J,"&lt;"&amp;$AE97/365,Dataset!J:J,"&gt;="&amp;$AD97/365)</f>
        <v>0</v>
      </c>
      <c r="AH97" s="101">
        <f>SUMIFS(Dataset!AJ:AJ,Dataset!F:F,'retorno absoluto'!$D$11,Dataset!AH:AH,"deposito",Dataset!T:T,"us$",Dataset!J:J,"&lt;"&amp;$AE97/365,Dataset!J:J,"&gt;="&amp;$AD97/365)</f>
        <v>0</v>
      </c>
      <c r="AI97" s="101">
        <f>SUMIFS(Dataset!AJ:AJ,Dataset!F:F,'retorno absoluto'!$D$11,Dataset!AH:AH,"factura",Dataset!J:J,"&lt;"&amp;$AE97/365,Dataset!J:J,"&gt;="&amp;$AD97/365)</f>
        <v>0</v>
      </c>
      <c r="AJ97" s="102">
        <f>SUMIFS(Dataset!AJ:AJ,Dataset!F:F,'retorno absoluto'!$D$11,Dataset!AH:AH,"letra hipotecaria",Dataset!J:J,"&lt;"&amp;$AE97/365,Dataset!J:J,"&gt;="&amp;$AD97/365)</f>
        <v>0</v>
      </c>
      <c r="AK97" s="84">
        <f t="shared" si="14"/>
        <v>0</v>
      </c>
    </row>
    <row r="98" spans="30:37" ht="31.5" customHeight="1" x14ac:dyDescent="0.3">
      <c r="AD98" s="61">
        <v>45</v>
      </c>
      <c r="AE98" s="100">
        <v>60</v>
      </c>
      <c r="AF98" s="101">
        <f>SUMIFS(Dataset!AJ:AJ,Dataset!F:F,'retorno absoluto'!$D$11,Dataset!AH:AH,"deposito",Dataset!T:T,"$",Dataset!J:J,"&lt;"&amp;$AE98/365,Dataset!J:J,"&gt;="&amp;$AD98/365)</f>
        <v>0</v>
      </c>
      <c r="AG98" s="101">
        <f>SUMIFS(Dataset!AJ:AJ,Dataset!F:F,'retorno absoluto'!$D$11,Dataset!AH:AH,"deposito",Dataset!T:T,"uf",Dataset!J:J,"&lt;"&amp;$AE98/365,Dataset!J:J,"&gt;="&amp;$AD98/365)</f>
        <v>0</v>
      </c>
      <c r="AH98" s="101">
        <f>SUMIFS(Dataset!AJ:AJ,Dataset!F:F,'retorno absoluto'!$D$11,Dataset!AH:AH,"deposito",Dataset!T:T,"us$",Dataset!J:J,"&lt;"&amp;$AE98/365,Dataset!J:J,"&gt;="&amp;$AD98/365)</f>
        <v>0</v>
      </c>
      <c r="AI98" s="101">
        <f>SUMIFS(Dataset!AJ:AJ,Dataset!F:F,'retorno absoluto'!$D$11,Dataset!AH:AH,"factura",Dataset!J:J,"&lt;"&amp;$AE98/365,Dataset!J:J,"&gt;="&amp;$AD98/365)</f>
        <v>0</v>
      </c>
      <c r="AJ98" s="102">
        <f>SUMIFS(Dataset!AJ:AJ,Dataset!F:F,'retorno absoluto'!$D$11,Dataset!AH:AH,"letra hipotecaria",Dataset!J:J,"&lt;"&amp;$AE98/365,Dataset!J:J,"&gt;="&amp;$AD98/365)</f>
        <v>0</v>
      </c>
      <c r="AK98" s="84">
        <f t="shared" si="14"/>
        <v>0</v>
      </c>
    </row>
    <row r="99" spans="30:37" ht="31.5" customHeight="1" x14ac:dyDescent="0.3">
      <c r="AD99" s="61">
        <v>60</v>
      </c>
      <c r="AE99" s="100">
        <v>75</v>
      </c>
      <c r="AF99" s="101">
        <f>SUMIFS(Dataset!AJ:AJ,Dataset!F:F,'retorno absoluto'!$D$11,Dataset!AH:AH,"deposito",Dataset!T:T,"$",Dataset!J:J,"&lt;"&amp;$AE99/365,Dataset!J:J,"&gt;="&amp;$AD99/365)</f>
        <v>0</v>
      </c>
      <c r="AG99" s="101">
        <f>SUMIFS(Dataset!AJ:AJ,Dataset!F:F,'retorno absoluto'!$D$11,Dataset!AH:AH,"deposito",Dataset!T:T,"uf",Dataset!J:J,"&lt;"&amp;$AE99/365,Dataset!J:J,"&gt;="&amp;$AD99/365)</f>
        <v>0</v>
      </c>
      <c r="AH99" s="101">
        <f>SUMIFS(Dataset!AJ:AJ,Dataset!F:F,'retorno absoluto'!$D$11,Dataset!AH:AH,"deposito",Dataset!T:T,"us$",Dataset!J:J,"&lt;"&amp;$AE99/365,Dataset!J:J,"&gt;="&amp;$AD99/365)</f>
        <v>0</v>
      </c>
      <c r="AI99" s="101">
        <f>SUMIFS(Dataset!AJ:AJ,Dataset!F:F,'retorno absoluto'!$D$11,Dataset!AH:AH,"factura",Dataset!J:J,"&lt;"&amp;$AE99/365,Dataset!J:J,"&gt;="&amp;$AD99/365)</f>
        <v>0</v>
      </c>
      <c r="AJ99" s="102">
        <f>SUMIFS(Dataset!AJ:AJ,Dataset!F:F,'retorno absoluto'!$D$11,Dataset!AH:AH,"letra hipotecaria",Dataset!J:J,"&lt;"&amp;$AE99/365,Dataset!J:J,"&gt;="&amp;$AD99/365)</f>
        <v>0</v>
      </c>
      <c r="AK99" s="84">
        <f t="shared" si="14"/>
        <v>0</v>
      </c>
    </row>
    <row r="100" spans="30:37" ht="31.5" customHeight="1" x14ac:dyDescent="0.3">
      <c r="AD100" s="61">
        <v>75</v>
      </c>
      <c r="AE100" s="100">
        <v>90</v>
      </c>
      <c r="AF100" s="101">
        <f>SUMIFS(Dataset!AJ:AJ,Dataset!F:F,'retorno absoluto'!$D$11,Dataset!AH:AH,"deposito",Dataset!T:T,"$",Dataset!J:J,"&lt;"&amp;$AE100/365,Dataset!J:J,"&gt;="&amp;$AD100/365)</f>
        <v>0</v>
      </c>
      <c r="AG100" s="101">
        <f>SUMIFS(Dataset!AJ:AJ,Dataset!F:F,'retorno absoluto'!$D$11,Dataset!AH:AH,"deposito",Dataset!T:T,"uf",Dataset!J:J,"&lt;"&amp;$AE100/365,Dataset!J:J,"&gt;="&amp;$AD100/365)</f>
        <v>0</v>
      </c>
      <c r="AH100" s="101">
        <f>SUMIFS(Dataset!AJ:AJ,Dataset!F:F,'retorno absoluto'!$D$11,Dataset!AH:AH,"deposito",Dataset!T:T,"us$",Dataset!J:J,"&lt;"&amp;$AE100/365,Dataset!J:J,"&gt;="&amp;$AD100/365)</f>
        <v>0</v>
      </c>
      <c r="AI100" s="101">
        <f>SUMIFS(Dataset!AJ:AJ,Dataset!F:F,'retorno absoluto'!$D$11,Dataset!AH:AH,"factura",Dataset!J:J,"&lt;"&amp;$AE100/365,Dataset!J:J,"&gt;="&amp;$AD100/365)</f>
        <v>0</v>
      </c>
      <c r="AJ100" s="102">
        <f>SUMIFS(Dataset!AJ:AJ,Dataset!F:F,'retorno absoluto'!$D$11,Dataset!AH:AH,"letra hipotecaria",Dataset!J:J,"&lt;"&amp;$AE100/365,Dataset!J:J,"&gt;="&amp;$AD100/365)</f>
        <v>0</v>
      </c>
      <c r="AK100" s="84">
        <f t="shared" si="14"/>
        <v>0</v>
      </c>
    </row>
    <row r="101" spans="30:37" ht="31.5" customHeight="1" x14ac:dyDescent="0.3">
      <c r="AD101" s="61">
        <v>90</v>
      </c>
      <c r="AE101" s="100">
        <v>105</v>
      </c>
      <c r="AF101" s="101">
        <f>SUMIFS(Dataset!AJ:AJ,Dataset!F:F,'retorno absoluto'!$D$11,Dataset!AH:AH,"deposito",Dataset!T:T,"$",Dataset!J:J,"&lt;"&amp;$AE101/365,Dataset!J:J,"&gt;="&amp;$AD101/365)</f>
        <v>0</v>
      </c>
      <c r="AG101" s="101">
        <f>SUMIFS(Dataset!AJ:AJ,Dataset!F:F,'retorno absoluto'!$D$11,Dataset!AH:AH,"deposito",Dataset!T:T,"uf",Dataset!J:J,"&lt;"&amp;$AE101/365,Dataset!J:J,"&gt;="&amp;$AD101/365)</f>
        <v>0</v>
      </c>
      <c r="AH101" s="101">
        <f>SUMIFS(Dataset!AJ:AJ,Dataset!F:F,'retorno absoluto'!$D$11,Dataset!AH:AH,"deposito",Dataset!T:T,"us$",Dataset!J:J,"&lt;"&amp;$AE101/365,Dataset!J:J,"&gt;="&amp;$AD101/365)</f>
        <v>0</v>
      </c>
      <c r="AI101" s="101">
        <f>SUMIFS(Dataset!AJ:AJ,Dataset!F:F,'retorno absoluto'!$D$11,Dataset!AH:AH,"factura",Dataset!J:J,"&lt;"&amp;$AE101/365,Dataset!J:J,"&gt;="&amp;$AD101/365)</f>
        <v>0</v>
      </c>
      <c r="AJ101" s="102">
        <f>SUMIFS(Dataset!AJ:AJ,Dataset!F:F,'retorno absoluto'!$D$11,Dataset!AH:AH,"letra hipotecaria",Dataset!J:J,"&lt;"&amp;$AE101/365,Dataset!J:J,"&gt;="&amp;$AD101/365)</f>
        <v>0</v>
      </c>
      <c r="AK101" s="84">
        <f t="shared" si="14"/>
        <v>0</v>
      </c>
    </row>
    <row r="102" spans="30:37" ht="31.5" customHeight="1" x14ac:dyDescent="0.3">
      <c r="AD102" s="61">
        <v>105</v>
      </c>
      <c r="AE102" s="100">
        <v>120</v>
      </c>
      <c r="AF102" s="101">
        <f>SUMIFS(Dataset!AJ:AJ,Dataset!F:F,'retorno absoluto'!$D$11,Dataset!AH:AH,"deposito",Dataset!T:T,"$",Dataset!J:J,"&lt;"&amp;$AE102/365,Dataset!J:J,"&gt;="&amp;$AD102/365)</f>
        <v>0</v>
      </c>
      <c r="AG102" s="101">
        <f>SUMIFS(Dataset!AJ:AJ,Dataset!F:F,'retorno absoluto'!$D$11,Dataset!AH:AH,"deposito",Dataset!T:T,"uf",Dataset!J:J,"&lt;"&amp;$AE102/365,Dataset!J:J,"&gt;="&amp;$AD102/365)</f>
        <v>0</v>
      </c>
      <c r="AH102" s="101">
        <f>SUMIFS(Dataset!AJ:AJ,Dataset!F:F,'retorno absoluto'!$D$11,Dataset!AH:AH,"deposito",Dataset!T:T,"us$",Dataset!J:J,"&lt;"&amp;$AE102/365,Dataset!J:J,"&gt;="&amp;$AD102/365)</f>
        <v>0</v>
      </c>
      <c r="AI102" s="101">
        <f>SUMIFS(Dataset!AJ:AJ,Dataset!F:F,'retorno absoluto'!$D$11,Dataset!AH:AH,"factura",Dataset!J:J,"&lt;"&amp;$AE102/365,Dataset!J:J,"&gt;="&amp;$AD102/365)</f>
        <v>0</v>
      </c>
      <c r="AJ102" s="102">
        <f>SUMIFS(Dataset!AJ:AJ,Dataset!F:F,'retorno absoluto'!$D$11,Dataset!AH:AH,"letra hipotecaria",Dataset!J:J,"&lt;"&amp;$AE102/365,Dataset!J:J,"&gt;="&amp;$AD102/365)</f>
        <v>0</v>
      </c>
      <c r="AK102" s="84">
        <f t="shared" si="14"/>
        <v>0</v>
      </c>
    </row>
    <row r="103" spans="30:37" ht="31.5" customHeight="1" x14ac:dyDescent="0.3">
      <c r="AD103" s="61">
        <v>120</v>
      </c>
      <c r="AE103" s="100">
        <v>135</v>
      </c>
      <c r="AF103" s="101">
        <f>SUMIFS(Dataset!AJ:AJ,Dataset!F:F,'retorno absoluto'!$D$11,Dataset!AH:AH,"deposito",Dataset!T:T,"$",Dataset!J:J,"&lt;"&amp;$AE103/365,Dataset!J:J,"&gt;="&amp;$AD103/365)</f>
        <v>0</v>
      </c>
      <c r="AG103" s="101">
        <f>SUMIFS(Dataset!AJ:AJ,Dataset!F:F,'retorno absoluto'!$D$11,Dataset!AH:AH,"deposito",Dataset!T:T,"uf",Dataset!J:J,"&lt;"&amp;$AE103/365,Dataset!J:J,"&gt;="&amp;$AD103/365)</f>
        <v>0</v>
      </c>
      <c r="AH103" s="101">
        <f>SUMIFS(Dataset!AJ:AJ,Dataset!F:F,'retorno absoluto'!$D$11,Dataset!AH:AH,"deposito",Dataset!T:T,"us$",Dataset!J:J,"&lt;"&amp;$AE103/365,Dataset!J:J,"&gt;="&amp;$AD103/365)</f>
        <v>0</v>
      </c>
      <c r="AI103" s="101">
        <f>SUMIFS(Dataset!AJ:AJ,Dataset!F:F,'retorno absoluto'!$D$11,Dataset!AH:AH,"factura",Dataset!J:J,"&lt;"&amp;$AE103/365,Dataset!J:J,"&gt;="&amp;$AD103/365)</f>
        <v>0</v>
      </c>
      <c r="AJ103" s="102">
        <f>SUMIFS(Dataset!AJ:AJ,Dataset!F:F,'retorno absoluto'!$D$11,Dataset!AH:AH,"letra hipotecaria",Dataset!J:J,"&lt;"&amp;$AE103/365,Dataset!J:J,"&gt;="&amp;$AD103/365)</f>
        <v>0</v>
      </c>
      <c r="AK103" s="84">
        <f t="shared" si="14"/>
        <v>0</v>
      </c>
    </row>
    <row r="104" spans="30:37" ht="31.5" customHeight="1" x14ac:dyDescent="0.3">
      <c r="AD104" s="61">
        <v>135</v>
      </c>
      <c r="AE104" s="100">
        <v>150</v>
      </c>
      <c r="AF104" s="101">
        <f>SUMIFS(Dataset!AJ:AJ,Dataset!F:F,'retorno absoluto'!$D$11,Dataset!AH:AH,"deposito",Dataset!T:T,"$",Dataset!J:J,"&lt;"&amp;$AE104/365,Dataset!J:J,"&gt;="&amp;$AD104/365)</f>
        <v>0</v>
      </c>
      <c r="AG104" s="101">
        <f>SUMIFS(Dataset!AJ:AJ,Dataset!F:F,'retorno absoluto'!$D$11,Dataset!AH:AH,"deposito",Dataset!T:T,"uf",Dataset!J:J,"&lt;"&amp;$AE104/365,Dataset!J:J,"&gt;="&amp;$AD104/365)</f>
        <v>0</v>
      </c>
      <c r="AH104" s="101">
        <f>SUMIFS(Dataset!AJ:AJ,Dataset!F:F,'retorno absoluto'!$D$11,Dataset!AH:AH,"deposito",Dataset!T:T,"us$",Dataset!J:J,"&lt;"&amp;$AE104/365,Dataset!J:J,"&gt;="&amp;$AD104/365)</f>
        <v>0</v>
      </c>
      <c r="AI104" s="101">
        <f>SUMIFS(Dataset!AJ:AJ,Dataset!F:F,'retorno absoluto'!$D$11,Dataset!AH:AH,"factura",Dataset!J:J,"&lt;"&amp;$AE104/365,Dataset!J:J,"&gt;="&amp;$AD104/365)</f>
        <v>0</v>
      </c>
      <c r="AJ104" s="102">
        <f>SUMIFS(Dataset!AJ:AJ,Dataset!F:F,'retorno absoluto'!$D$11,Dataset!AH:AH,"letra hipotecaria",Dataset!J:J,"&lt;"&amp;$AE104/365,Dataset!J:J,"&gt;="&amp;$AD104/365)</f>
        <v>0</v>
      </c>
      <c r="AK104" s="84">
        <f t="shared" si="14"/>
        <v>0</v>
      </c>
    </row>
    <row r="105" spans="30:37" ht="31.5" customHeight="1" x14ac:dyDescent="0.3">
      <c r="AD105" s="61">
        <v>150</v>
      </c>
      <c r="AE105" s="100">
        <v>165</v>
      </c>
      <c r="AF105" s="101">
        <f>SUMIFS(Dataset!AJ:AJ,Dataset!F:F,'retorno absoluto'!$D$11,Dataset!AH:AH,"deposito",Dataset!T:T,"$",Dataset!J:J,"&lt;"&amp;$AE105/365,Dataset!J:J,"&gt;="&amp;$AD105/365)</f>
        <v>0</v>
      </c>
      <c r="AG105" s="101">
        <f>SUMIFS(Dataset!AJ:AJ,Dataset!F:F,'retorno absoluto'!$D$11,Dataset!AH:AH,"deposito",Dataset!T:T,"uf",Dataset!J:J,"&lt;"&amp;$AE105/365,Dataset!J:J,"&gt;="&amp;$AD105/365)</f>
        <v>0</v>
      </c>
      <c r="AH105" s="101">
        <f>SUMIFS(Dataset!AJ:AJ,Dataset!F:F,'retorno absoluto'!$D$11,Dataset!AH:AH,"deposito",Dataset!T:T,"us$",Dataset!J:J,"&lt;"&amp;$AE105/365,Dataset!J:J,"&gt;="&amp;$AD105/365)</f>
        <v>0</v>
      </c>
      <c r="AI105" s="101">
        <f>SUMIFS(Dataset!AJ:AJ,Dataset!F:F,'retorno absoluto'!$D$11,Dataset!AH:AH,"factura",Dataset!J:J,"&lt;"&amp;$AE105/365,Dataset!J:J,"&gt;="&amp;$AD105/365)</f>
        <v>0</v>
      </c>
      <c r="AJ105" s="102">
        <f>SUMIFS(Dataset!AJ:AJ,Dataset!F:F,'retorno absoluto'!$D$11,Dataset!AH:AH,"letra hipotecaria",Dataset!J:J,"&lt;"&amp;$AE105/365,Dataset!J:J,"&gt;="&amp;$AD105/365)</f>
        <v>0</v>
      </c>
      <c r="AK105" s="84">
        <f t="shared" si="14"/>
        <v>0</v>
      </c>
    </row>
    <row r="106" spans="30:37" ht="31.5" customHeight="1" x14ac:dyDescent="0.3">
      <c r="AD106" s="61">
        <v>165</v>
      </c>
      <c r="AE106" s="100">
        <v>180</v>
      </c>
      <c r="AF106" s="101">
        <f>SUMIFS(Dataset!AJ:AJ,Dataset!F:F,'retorno absoluto'!$D$11,Dataset!AH:AH,"deposito",Dataset!T:T,"$",Dataset!J:J,"&lt;"&amp;$AE106/365,Dataset!J:J,"&gt;="&amp;$AD106/365)</f>
        <v>0</v>
      </c>
      <c r="AG106" s="101">
        <f>SUMIFS(Dataset!AJ:AJ,Dataset!F:F,'retorno absoluto'!$D$11,Dataset!AH:AH,"deposito",Dataset!T:T,"uf",Dataset!J:J,"&lt;"&amp;$AE106/365,Dataset!J:J,"&gt;="&amp;$AD106/365)</f>
        <v>0</v>
      </c>
      <c r="AH106" s="101">
        <f>SUMIFS(Dataset!AJ:AJ,Dataset!F:F,'retorno absoluto'!$D$11,Dataset!AH:AH,"deposito",Dataset!T:T,"us$",Dataset!J:J,"&lt;"&amp;$AE106/365,Dataset!J:J,"&gt;="&amp;$AD106/365)</f>
        <v>0</v>
      </c>
      <c r="AI106" s="101">
        <f>SUMIFS(Dataset!AJ:AJ,Dataset!F:F,'retorno absoluto'!$D$11,Dataset!AH:AH,"factura",Dataset!J:J,"&lt;"&amp;$AE106/365,Dataset!J:J,"&gt;="&amp;$AD106/365)</f>
        <v>0</v>
      </c>
      <c r="AJ106" s="102">
        <f>SUMIFS(Dataset!AJ:AJ,Dataset!F:F,'retorno absoluto'!$D$11,Dataset!AH:AH,"letra hipotecaria",Dataset!J:J,"&lt;"&amp;$AE106/365,Dataset!J:J,"&gt;="&amp;$AD106/365)</f>
        <v>0</v>
      </c>
      <c r="AK106" s="84">
        <f t="shared" si="14"/>
        <v>0</v>
      </c>
    </row>
    <row r="107" spans="30:37" ht="31.5" customHeight="1" x14ac:dyDescent="0.3">
      <c r="AD107" s="61">
        <v>180</v>
      </c>
      <c r="AE107" s="100">
        <v>195</v>
      </c>
      <c r="AF107" s="101">
        <f>SUMIFS(Dataset!AJ:AJ,Dataset!F:F,'retorno absoluto'!$D$11,Dataset!AH:AH,"deposito",Dataset!T:T,"$",Dataset!J:J,"&lt;"&amp;$AE107/365,Dataset!J:J,"&gt;="&amp;$AD107/365)</f>
        <v>0</v>
      </c>
      <c r="AG107" s="101">
        <f>SUMIFS(Dataset!AJ:AJ,Dataset!F:F,'retorno absoluto'!$D$11,Dataset!AH:AH,"deposito",Dataset!T:T,"uf",Dataset!J:J,"&lt;"&amp;$AE107/365,Dataset!J:J,"&gt;="&amp;$AD107/365)</f>
        <v>0</v>
      </c>
      <c r="AH107" s="101">
        <f>SUMIFS(Dataset!AJ:AJ,Dataset!F:F,'retorno absoluto'!$D$11,Dataset!AH:AH,"deposito",Dataset!T:T,"us$",Dataset!J:J,"&lt;"&amp;$AE107/365,Dataset!J:J,"&gt;="&amp;$AD107/365)</f>
        <v>0</v>
      </c>
      <c r="AI107" s="101">
        <f>SUMIFS(Dataset!AJ:AJ,Dataset!F:F,'retorno absoluto'!$D$11,Dataset!AH:AH,"factura",Dataset!J:J,"&lt;"&amp;$AE107/365,Dataset!J:J,"&gt;="&amp;$AD107/365)</f>
        <v>0</v>
      </c>
      <c r="AJ107" s="102">
        <f>SUMIFS(Dataset!AJ:AJ,Dataset!F:F,'retorno absoluto'!$D$11,Dataset!AH:AH,"letra hipotecaria",Dataset!J:J,"&lt;"&amp;$AE107/365,Dataset!J:J,"&gt;="&amp;$AD107/365)</f>
        <v>0</v>
      </c>
      <c r="AK107" s="84">
        <f t="shared" si="14"/>
        <v>0</v>
      </c>
    </row>
    <row r="108" spans="30:37" ht="31.5" customHeight="1" x14ac:dyDescent="0.3">
      <c r="AD108" s="61">
        <v>195</v>
      </c>
      <c r="AE108" s="100">
        <v>210</v>
      </c>
      <c r="AF108" s="101">
        <f>SUMIFS(Dataset!AJ:AJ,Dataset!F:F,'retorno absoluto'!$D$11,Dataset!AH:AH,"deposito",Dataset!T:T,"$",Dataset!J:J,"&lt;"&amp;$AE108/365,Dataset!J:J,"&gt;="&amp;$AD108/365)</f>
        <v>0</v>
      </c>
      <c r="AG108" s="101">
        <f>SUMIFS(Dataset!AJ:AJ,Dataset!F:F,'retorno absoluto'!$D$11,Dataset!AH:AH,"deposito",Dataset!T:T,"uf",Dataset!J:J,"&lt;"&amp;$AE108/365,Dataset!J:J,"&gt;="&amp;$AD108/365)</f>
        <v>0</v>
      </c>
      <c r="AH108" s="101">
        <f>SUMIFS(Dataset!AJ:AJ,Dataset!F:F,'retorno absoluto'!$D$11,Dataset!AH:AH,"deposito",Dataset!T:T,"us$",Dataset!J:J,"&lt;"&amp;$AE108/365,Dataset!J:J,"&gt;="&amp;$AD108/365)</f>
        <v>0</v>
      </c>
      <c r="AI108" s="101">
        <f>SUMIFS(Dataset!AJ:AJ,Dataset!F:F,'retorno absoluto'!$D$11,Dataset!AH:AH,"factura",Dataset!J:J,"&lt;"&amp;$AE108/365,Dataset!J:J,"&gt;="&amp;$AD108/365)</f>
        <v>0</v>
      </c>
      <c r="AJ108" s="102">
        <f>SUMIFS(Dataset!AJ:AJ,Dataset!F:F,'retorno absoluto'!$D$11,Dataset!AH:AH,"letra hipotecaria",Dataset!J:J,"&lt;"&amp;$AE108/365,Dataset!J:J,"&gt;="&amp;$AD108/365)</f>
        <v>0</v>
      </c>
      <c r="AK108" s="84">
        <f t="shared" si="14"/>
        <v>0</v>
      </c>
    </row>
    <row r="109" spans="30:37" ht="31.5" customHeight="1" x14ac:dyDescent="0.3">
      <c r="AD109" s="61">
        <v>210</v>
      </c>
      <c r="AE109" s="100">
        <v>225</v>
      </c>
      <c r="AF109" s="101">
        <f>SUMIFS(Dataset!AJ:AJ,Dataset!F:F,'retorno absoluto'!$D$11,Dataset!AH:AH,"deposito",Dataset!T:T,"$",Dataset!J:J,"&lt;"&amp;$AE109/365,Dataset!J:J,"&gt;="&amp;$AD109/365)</f>
        <v>0</v>
      </c>
      <c r="AG109" s="101">
        <f>SUMIFS(Dataset!AJ:AJ,Dataset!F:F,'retorno absoluto'!$D$11,Dataset!AH:AH,"deposito",Dataset!T:T,"uf",Dataset!J:J,"&lt;"&amp;$AE109/365,Dataset!J:J,"&gt;="&amp;$AD109/365)</f>
        <v>0</v>
      </c>
      <c r="AH109" s="101">
        <f>SUMIFS(Dataset!AJ:AJ,Dataset!F:F,'retorno absoluto'!$D$11,Dataset!AH:AH,"deposito",Dataset!T:T,"us$",Dataset!J:J,"&lt;"&amp;$AE109/365,Dataset!J:J,"&gt;="&amp;$AD109/365)</f>
        <v>0</v>
      </c>
      <c r="AI109" s="101">
        <f>SUMIFS(Dataset!AJ:AJ,Dataset!F:F,'retorno absoluto'!$D$11,Dataset!AH:AH,"factura",Dataset!J:J,"&lt;"&amp;$AE109/365,Dataset!J:J,"&gt;="&amp;$AD109/365)</f>
        <v>0</v>
      </c>
      <c r="AJ109" s="102">
        <f>SUMIFS(Dataset!AJ:AJ,Dataset!F:F,'retorno absoluto'!$D$11,Dataset!AH:AH,"letra hipotecaria",Dataset!J:J,"&lt;"&amp;$AE109/365,Dataset!J:J,"&gt;="&amp;$AD109/365)</f>
        <v>0</v>
      </c>
      <c r="AK109" s="84">
        <f t="shared" si="14"/>
        <v>0</v>
      </c>
    </row>
    <row r="110" spans="30:37" ht="31.5" customHeight="1" x14ac:dyDescent="0.3">
      <c r="AD110" s="61">
        <v>225</v>
      </c>
      <c r="AE110" s="100">
        <v>240</v>
      </c>
      <c r="AF110" s="101">
        <f>SUMIFS(Dataset!AJ:AJ,Dataset!F:F,'retorno absoluto'!$D$11,Dataset!AH:AH,"deposito",Dataset!T:T,"$",Dataset!J:J,"&lt;"&amp;$AE110/365,Dataset!J:J,"&gt;="&amp;$AD110/365)</f>
        <v>0</v>
      </c>
      <c r="AG110" s="101">
        <f>SUMIFS(Dataset!AJ:AJ,Dataset!F:F,'retorno absoluto'!$D$11,Dataset!AH:AH,"deposito",Dataset!T:T,"uf",Dataset!J:J,"&lt;"&amp;$AE110/365,Dataset!J:J,"&gt;="&amp;$AD110/365)</f>
        <v>0</v>
      </c>
      <c r="AH110" s="101">
        <f>SUMIFS(Dataset!AJ:AJ,Dataset!F:F,'retorno absoluto'!$D$11,Dataset!AH:AH,"deposito",Dataset!T:T,"us$",Dataset!J:J,"&lt;"&amp;$AE110/365,Dataset!J:J,"&gt;="&amp;$AD110/365)</f>
        <v>0</v>
      </c>
      <c r="AI110" s="101">
        <f>SUMIFS(Dataset!AJ:AJ,Dataset!F:F,'retorno absoluto'!$D$11,Dataset!AH:AH,"factura",Dataset!J:J,"&lt;"&amp;$AE110/365,Dataset!J:J,"&gt;="&amp;$AD110/365)</f>
        <v>0</v>
      </c>
      <c r="AJ110" s="102">
        <f>SUMIFS(Dataset!AJ:AJ,Dataset!F:F,'retorno absoluto'!$D$11,Dataset!AH:AH,"letra hipotecaria",Dataset!J:J,"&lt;"&amp;$AE110/365,Dataset!J:J,"&gt;="&amp;$AD110/365)</f>
        <v>0</v>
      </c>
      <c r="AK110" s="84">
        <f t="shared" si="14"/>
        <v>0</v>
      </c>
    </row>
    <row r="111" spans="30:37" ht="31.5" customHeight="1" x14ac:dyDescent="0.3">
      <c r="AD111" s="61">
        <v>240</v>
      </c>
      <c r="AE111" s="100">
        <v>255</v>
      </c>
      <c r="AF111" s="101">
        <f>SUMIFS(Dataset!AJ:AJ,Dataset!F:F,'retorno absoluto'!$D$11,Dataset!AH:AH,"deposito",Dataset!T:T,"$",Dataset!J:J,"&lt;"&amp;$AE111/365,Dataset!J:J,"&gt;="&amp;$AD111/365)</f>
        <v>0</v>
      </c>
      <c r="AG111" s="101">
        <f>SUMIFS(Dataset!AJ:AJ,Dataset!F:F,'retorno absoluto'!$D$11,Dataset!AH:AH,"deposito",Dataset!T:T,"uf",Dataset!J:J,"&lt;"&amp;$AE111/365,Dataset!J:J,"&gt;="&amp;$AD111/365)</f>
        <v>0</v>
      </c>
      <c r="AH111" s="101">
        <f>SUMIFS(Dataset!AJ:AJ,Dataset!F:F,'retorno absoluto'!$D$11,Dataset!AH:AH,"deposito",Dataset!T:T,"us$",Dataset!J:J,"&lt;"&amp;$AE111/365,Dataset!J:J,"&gt;="&amp;$AD111/365)</f>
        <v>0</v>
      </c>
      <c r="AI111" s="101">
        <f>SUMIFS(Dataset!AJ:AJ,Dataset!F:F,'retorno absoluto'!$D$11,Dataset!AH:AH,"factura",Dataset!J:J,"&lt;"&amp;$AE111/365,Dataset!J:J,"&gt;="&amp;$AD111/365)</f>
        <v>0</v>
      </c>
      <c r="AJ111" s="102">
        <f>SUMIFS(Dataset!AJ:AJ,Dataset!F:F,'retorno absoluto'!$D$11,Dataset!AH:AH,"letra hipotecaria",Dataset!J:J,"&lt;"&amp;$AE111/365,Dataset!J:J,"&gt;="&amp;$AD111/365)</f>
        <v>0</v>
      </c>
      <c r="AK111" s="84">
        <f t="shared" si="14"/>
        <v>0</v>
      </c>
    </row>
    <row r="112" spans="30:37" ht="31.5" customHeight="1" x14ac:dyDescent="0.3">
      <c r="AD112" s="61">
        <v>255</v>
      </c>
      <c r="AE112" s="100">
        <v>270</v>
      </c>
      <c r="AF112" s="101">
        <f>SUMIFS(Dataset!AJ:AJ,Dataset!F:F,'retorno absoluto'!$D$11,Dataset!AH:AH,"deposito",Dataset!T:T,"$",Dataset!J:J,"&lt;"&amp;$AE112/365,Dataset!J:J,"&gt;="&amp;$AD112/365)</f>
        <v>0</v>
      </c>
      <c r="AG112" s="101">
        <f>SUMIFS(Dataset!AJ:AJ,Dataset!F:F,'retorno absoluto'!$D$11,Dataset!AH:AH,"deposito",Dataset!T:T,"uf",Dataset!J:J,"&lt;"&amp;$AE112/365,Dataset!J:J,"&gt;="&amp;$AD112/365)</f>
        <v>0</v>
      </c>
      <c r="AH112" s="101">
        <f>SUMIFS(Dataset!AJ:AJ,Dataset!F:F,'retorno absoluto'!$D$11,Dataset!AH:AH,"deposito",Dataset!T:T,"us$",Dataset!J:J,"&lt;"&amp;$AE112/365,Dataset!J:J,"&gt;="&amp;$AD112/365)</f>
        <v>0</v>
      </c>
      <c r="AI112" s="101">
        <f>SUMIFS(Dataset!AJ:AJ,Dataset!F:F,'retorno absoluto'!$D$11,Dataset!AH:AH,"factura",Dataset!J:J,"&lt;"&amp;$AE112/365,Dataset!J:J,"&gt;="&amp;$AD112/365)</f>
        <v>0</v>
      </c>
      <c r="AJ112" s="102">
        <f>SUMIFS(Dataset!AJ:AJ,Dataset!F:F,'retorno absoluto'!$D$11,Dataset!AH:AH,"letra hipotecaria",Dataset!J:J,"&lt;"&amp;$AE112/365,Dataset!J:J,"&gt;="&amp;$AD112/365)</f>
        <v>0</v>
      </c>
      <c r="AK112" s="84">
        <f t="shared" si="14"/>
        <v>0</v>
      </c>
    </row>
    <row r="113" spans="3:40" ht="31.5" customHeight="1" x14ac:dyDescent="0.3">
      <c r="AD113" s="61">
        <v>270</v>
      </c>
      <c r="AE113" s="100">
        <v>285</v>
      </c>
      <c r="AF113" s="101">
        <f>SUMIFS(Dataset!AJ:AJ,Dataset!F:F,'retorno absoluto'!$D$11,Dataset!AH:AH,"deposito",Dataset!T:T,"$",Dataset!J:J,"&lt;"&amp;$AE113/365,Dataset!J:J,"&gt;="&amp;$AD113/365)</f>
        <v>0</v>
      </c>
      <c r="AG113" s="101">
        <f>SUMIFS(Dataset!AJ:AJ,Dataset!F:F,'retorno absoluto'!$D$11,Dataset!AH:AH,"deposito",Dataset!T:T,"uf",Dataset!J:J,"&lt;"&amp;$AE113/365,Dataset!J:J,"&gt;="&amp;$AD113/365)</f>
        <v>0</v>
      </c>
      <c r="AH113" s="101">
        <f>SUMIFS(Dataset!AJ:AJ,Dataset!F:F,'retorno absoluto'!$D$11,Dataset!AH:AH,"deposito",Dataset!T:T,"us$",Dataset!J:J,"&lt;"&amp;$AE113/365,Dataset!J:J,"&gt;="&amp;$AD113/365)</f>
        <v>0</v>
      </c>
      <c r="AI113" s="101">
        <f>SUMIFS(Dataset!AJ:AJ,Dataset!F:F,'retorno absoluto'!$D$11,Dataset!AH:AH,"factura",Dataset!J:J,"&lt;"&amp;$AE113/365,Dataset!J:J,"&gt;="&amp;$AD113/365)</f>
        <v>0</v>
      </c>
      <c r="AJ113" s="102">
        <f>SUMIFS(Dataset!AJ:AJ,Dataset!F:F,'retorno absoluto'!$D$11,Dataset!AH:AH,"letra hipotecaria",Dataset!J:J,"&lt;"&amp;$AE113/365,Dataset!J:J,"&gt;="&amp;$AD113/365)</f>
        <v>0</v>
      </c>
      <c r="AK113" s="84">
        <f t="shared" si="14"/>
        <v>0</v>
      </c>
    </row>
    <row r="114" spans="3:40" ht="31.5" customHeight="1" x14ac:dyDescent="0.3">
      <c r="AD114" s="61">
        <v>285</v>
      </c>
      <c r="AE114" s="100">
        <v>300</v>
      </c>
      <c r="AF114" s="101">
        <f>SUMIFS(Dataset!AJ:AJ,Dataset!F:F,'retorno absoluto'!$D$11,Dataset!AH:AH,"deposito",Dataset!T:T,"$",Dataset!J:J,"&lt;"&amp;$AE114/365,Dataset!J:J,"&gt;="&amp;$AD114/365)</f>
        <v>0</v>
      </c>
      <c r="AG114" s="101">
        <f>SUMIFS(Dataset!AJ:AJ,Dataset!F:F,'retorno absoluto'!$D$11,Dataset!AH:AH,"deposito",Dataset!T:T,"uf",Dataset!J:J,"&lt;"&amp;$AE114/365,Dataset!J:J,"&gt;="&amp;$AD114/365)</f>
        <v>0</v>
      </c>
      <c r="AH114" s="101">
        <f>SUMIFS(Dataset!AJ:AJ,Dataset!F:F,'retorno absoluto'!$D$11,Dataset!AH:AH,"deposito",Dataset!T:T,"us$",Dataset!J:J,"&lt;"&amp;$AE114/365,Dataset!J:J,"&gt;="&amp;$AD114/365)</f>
        <v>0</v>
      </c>
      <c r="AI114" s="101">
        <f>SUMIFS(Dataset!AJ:AJ,Dataset!F:F,'retorno absoluto'!$D$11,Dataset!AH:AH,"factura",Dataset!J:J,"&lt;"&amp;$AE114/365,Dataset!J:J,"&gt;="&amp;$AD114/365)</f>
        <v>0</v>
      </c>
      <c r="AJ114" s="102">
        <f>SUMIFS(Dataset!AJ:AJ,Dataset!F:F,'retorno absoluto'!$D$11,Dataset!AH:AH,"letra hipotecaria",Dataset!J:J,"&lt;"&amp;$AE114/365,Dataset!J:J,"&gt;="&amp;$AD114/365)</f>
        <v>0</v>
      </c>
      <c r="AK114" s="84">
        <f t="shared" si="14"/>
        <v>0</v>
      </c>
    </row>
    <row r="115" spans="3:40" ht="31.5" customHeight="1" x14ac:dyDescent="0.3">
      <c r="AD115" s="61">
        <v>300</v>
      </c>
      <c r="AE115" s="100">
        <v>315</v>
      </c>
      <c r="AF115" s="101">
        <f>SUMIFS(Dataset!AJ:AJ,Dataset!F:F,'retorno absoluto'!$D$11,Dataset!AH:AH,"deposito",Dataset!T:T,"$",Dataset!J:J,"&lt;"&amp;$AE115/365,Dataset!J:J,"&gt;="&amp;$AD115/365)</f>
        <v>0</v>
      </c>
      <c r="AG115" s="101">
        <f>SUMIFS(Dataset!AJ:AJ,Dataset!F:F,'retorno absoluto'!$D$11,Dataset!AH:AH,"deposito",Dataset!T:T,"uf",Dataset!J:J,"&lt;"&amp;$AE115/365,Dataset!J:J,"&gt;="&amp;$AD115/365)</f>
        <v>0</v>
      </c>
      <c r="AH115" s="101">
        <f>SUMIFS(Dataset!AJ:AJ,Dataset!F:F,'retorno absoluto'!$D$11,Dataset!AH:AH,"deposito",Dataset!T:T,"us$",Dataset!J:J,"&lt;"&amp;$AE115/365,Dataset!J:J,"&gt;="&amp;$AD115/365)</f>
        <v>0</v>
      </c>
      <c r="AI115" s="101">
        <f>SUMIFS(Dataset!AJ:AJ,Dataset!F:F,'retorno absoluto'!$D$11,Dataset!AH:AH,"factura",Dataset!J:J,"&lt;"&amp;$AE115/365,Dataset!J:J,"&gt;="&amp;$AD115/365)</f>
        <v>0</v>
      </c>
      <c r="AJ115" s="102">
        <f>SUMIFS(Dataset!AJ:AJ,Dataset!F:F,'retorno absoluto'!$D$11,Dataset!AH:AH,"letra hipotecaria",Dataset!J:J,"&lt;"&amp;$AE115/365,Dataset!J:J,"&gt;="&amp;$AD115/365)</f>
        <v>0</v>
      </c>
      <c r="AK115" s="84">
        <f t="shared" si="14"/>
        <v>0</v>
      </c>
    </row>
    <row r="116" spans="3:40" ht="31.5" customHeight="1" x14ac:dyDescent="0.3">
      <c r="AD116" s="61">
        <v>315</v>
      </c>
      <c r="AE116" s="100">
        <v>330</v>
      </c>
      <c r="AF116" s="101">
        <f>SUMIFS(Dataset!AJ:AJ,Dataset!F:F,'retorno absoluto'!$D$11,Dataset!AH:AH,"deposito",Dataset!T:T,"$",Dataset!J:J,"&lt;"&amp;$AE116/365,Dataset!J:J,"&gt;="&amp;$AD116/365)</f>
        <v>0</v>
      </c>
      <c r="AG116" s="101">
        <f>SUMIFS(Dataset!AJ:AJ,Dataset!F:F,'retorno absoluto'!$D$11,Dataset!AH:AH,"deposito",Dataset!T:T,"uf",Dataset!J:J,"&lt;"&amp;$AE116/365,Dataset!J:J,"&gt;="&amp;$AD116/365)</f>
        <v>0</v>
      </c>
      <c r="AH116" s="101">
        <f>SUMIFS(Dataset!AJ:AJ,Dataset!F:F,'retorno absoluto'!$D$11,Dataset!AH:AH,"deposito",Dataset!T:T,"us$",Dataset!J:J,"&lt;"&amp;$AE116/365,Dataset!J:J,"&gt;="&amp;$AD116/365)</f>
        <v>0</v>
      </c>
      <c r="AI116" s="101">
        <f>SUMIFS(Dataset!AJ:AJ,Dataset!F:F,'retorno absoluto'!$D$11,Dataset!AH:AH,"factura",Dataset!J:J,"&lt;"&amp;$AE116/365,Dataset!J:J,"&gt;="&amp;$AD116/365)</f>
        <v>0</v>
      </c>
      <c r="AJ116" s="102">
        <f>SUMIFS(Dataset!AJ:AJ,Dataset!F:F,'retorno absoluto'!$D$11,Dataset!AH:AH,"letra hipotecaria",Dataset!J:J,"&lt;"&amp;$AE116/365,Dataset!J:J,"&gt;="&amp;$AD116/365)</f>
        <v>0</v>
      </c>
      <c r="AK116" s="84">
        <f t="shared" si="14"/>
        <v>0</v>
      </c>
    </row>
    <row r="117" spans="3:40" ht="31.5" customHeight="1" x14ac:dyDescent="0.3">
      <c r="AD117" s="61">
        <v>330</v>
      </c>
      <c r="AE117" s="100">
        <v>345</v>
      </c>
      <c r="AF117" s="101">
        <f>SUMIFS(Dataset!AJ:AJ,Dataset!F:F,'retorno absoluto'!$D$11,Dataset!AH:AH,"deposito",Dataset!T:T,"$",Dataset!J:J,"&lt;"&amp;$AE117/365,Dataset!J:J,"&gt;="&amp;$AD117/365)</f>
        <v>0</v>
      </c>
      <c r="AG117" s="101">
        <f>SUMIFS(Dataset!AJ:AJ,Dataset!F:F,'retorno absoluto'!$D$11,Dataset!AH:AH,"deposito",Dataset!T:T,"uf",Dataset!J:J,"&lt;"&amp;$AE117/365,Dataset!J:J,"&gt;="&amp;$AD117/365)</f>
        <v>0</v>
      </c>
      <c r="AH117" s="101">
        <f>SUMIFS(Dataset!AJ:AJ,Dataset!F:F,'retorno absoluto'!$D$11,Dataset!AH:AH,"deposito",Dataset!T:T,"us$",Dataset!J:J,"&lt;"&amp;$AE117/365,Dataset!J:J,"&gt;="&amp;$AD117/365)</f>
        <v>0</v>
      </c>
      <c r="AI117" s="101">
        <f>SUMIFS(Dataset!AJ:AJ,Dataset!F:F,'retorno absoluto'!$D$11,Dataset!AH:AH,"factura",Dataset!J:J,"&lt;"&amp;$AE117/365,Dataset!J:J,"&gt;="&amp;$AD117/365)</f>
        <v>0</v>
      </c>
      <c r="AJ117" s="102">
        <f>SUMIFS(Dataset!AJ:AJ,Dataset!F:F,'retorno absoluto'!$D$11,Dataset!AH:AH,"letra hipotecaria",Dataset!J:J,"&lt;"&amp;$AE117/365,Dataset!J:J,"&gt;="&amp;$AD117/365)</f>
        <v>0</v>
      </c>
      <c r="AK117" s="84">
        <f t="shared" si="14"/>
        <v>0</v>
      </c>
    </row>
    <row r="118" spans="3:40" ht="31.5" customHeight="1" x14ac:dyDescent="0.3">
      <c r="AD118" s="61">
        <v>345</v>
      </c>
      <c r="AE118" s="100">
        <v>360</v>
      </c>
      <c r="AF118" s="101">
        <f>SUMIFS(Dataset!AJ:AJ,Dataset!F:F,'retorno absoluto'!$D$11,Dataset!AH:AH,"deposito",Dataset!T:T,"$",Dataset!J:J,"&lt;"&amp;$AE118/365,Dataset!J:J,"&gt;="&amp;$AD118/365)</f>
        <v>0</v>
      </c>
      <c r="AG118" s="101">
        <f>SUMIFS(Dataset!AJ:AJ,Dataset!F:F,'retorno absoluto'!$D$11,Dataset!AH:AH,"deposito",Dataset!T:T,"uf",Dataset!J:J,"&lt;"&amp;$AE118/365,Dataset!J:J,"&gt;="&amp;$AD118/365)</f>
        <v>0</v>
      </c>
      <c r="AH118" s="101">
        <f>SUMIFS(Dataset!AJ:AJ,Dataset!F:F,'retorno absoluto'!$D$11,Dataset!AH:AH,"deposito",Dataset!T:T,"us$",Dataset!J:J,"&lt;"&amp;$AE118/365,Dataset!J:J,"&gt;="&amp;$AD118/365)</f>
        <v>0</v>
      </c>
      <c r="AI118" s="101">
        <f>SUMIFS(Dataset!AJ:AJ,Dataset!F:F,'retorno absoluto'!$D$11,Dataset!AH:AH,"factura",Dataset!J:J,"&lt;"&amp;$AE118/365,Dataset!J:J,"&gt;="&amp;$AD118/365)</f>
        <v>0</v>
      </c>
      <c r="AJ118" s="102">
        <f>SUMIFS(Dataset!AJ:AJ,Dataset!F:F,'retorno absoluto'!$D$11,Dataset!AH:AH,"letra hipotecaria",Dataset!J:J,"&lt;"&amp;$AE118/365,Dataset!J:J,"&gt;="&amp;$AD118/365)</f>
        <v>0</v>
      </c>
      <c r="AK118" s="84">
        <f t="shared" si="14"/>
        <v>0</v>
      </c>
    </row>
    <row r="119" spans="3:40" ht="31.5" customHeight="1" x14ac:dyDescent="0.3">
      <c r="AD119" s="61">
        <v>360</v>
      </c>
      <c r="AE119" s="100">
        <v>720</v>
      </c>
      <c r="AF119" s="101">
        <f>SUMIFS(Dataset!AJ:AJ,Dataset!F:F,'retorno absoluto'!$D$11,Dataset!AH:AH,"deposito",Dataset!T:T,"$",Dataset!J:J,"&lt;"&amp;$AE119/365,Dataset!J:J,"&gt;="&amp;$AD119/365)</f>
        <v>0</v>
      </c>
      <c r="AG119" s="101">
        <f>SUMIFS(Dataset!AJ:AJ,Dataset!F:F,'retorno absoluto'!$D$11,Dataset!AH:AH,"deposito",Dataset!T:T,"uf",Dataset!J:J,"&lt;"&amp;$AE119/365,Dataset!J:J,"&gt;="&amp;$AD119/365)</f>
        <v>0</v>
      </c>
      <c r="AH119" s="101">
        <f>SUMIFS(Dataset!AJ:AJ,Dataset!F:F,'retorno absoluto'!$D$11,Dataset!AH:AH,"deposito",Dataset!T:T,"us$",Dataset!J:J,"&lt;"&amp;$AE119/365,Dataset!J:J,"&gt;="&amp;$AD119/365)</f>
        <v>0</v>
      </c>
      <c r="AI119" s="101">
        <f>SUMIFS(Dataset!AJ:AJ,Dataset!F:F,'retorno absoluto'!$D$11,Dataset!AH:AH,"factura",Dataset!J:J,"&lt;"&amp;$AE119/365,Dataset!J:J,"&gt;="&amp;$AD119/365)</f>
        <v>0</v>
      </c>
      <c r="AJ119" s="102">
        <f>SUMIFS(Dataset!AJ:AJ,Dataset!F:F,'retorno absoluto'!$D$11,Dataset!AH:AH,"letra hipotecaria",Dataset!J:J,"&lt;"&amp;$AE119/365,Dataset!J:J,"&gt;="&amp;$AD119/365)</f>
        <v>0</v>
      </c>
      <c r="AK119" s="84">
        <f t="shared" si="14"/>
        <v>0</v>
      </c>
    </row>
    <row r="120" spans="3:40" ht="31.5" customHeight="1" x14ac:dyDescent="0.3">
      <c r="AD120" s="61">
        <v>720</v>
      </c>
      <c r="AE120" s="100">
        <v>1080</v>
      </c>
      <c r="AF120" s="101">
        <f>SUMIFS(Dataset!AJ:AJ,Dataset!F:F,'retorno absoluto'!$D$11,Dataset!AH:AH,"deposito",Dataset!T:T,"$",Dataset!J:J,"&lt;"&amp;$AE120/365,Dataset!J:J,"&gt;="&amp;$AD120/365)</f>
        <v>0</v>
      </c>
      <c r="AG120" s="101">
        <f>SUMIFS(Dataset!AJ:AJ,Dataset!F:F,'retorno absoluto'!$D$11,Dataset!AH:AH,"deposito",Dataset!T:T,"uf",Dataset!J:J,"&lt;"&amp;$AE120/365,Dataset!J:J,"&gt;="&amp;$AD120/365)</f>
        <v>0</v>
      </c>
      <c r="AH120" s="101">
        <f>SUMIFS(Dataset!AJ:AJ,Dataset!F:F,'retorno absoluto'!$D$11,Dataset!AH:AH,"deposito",Dataset!T:T,"us$",Dataset!J:J,"&lt;"&amp;$AE120/365,Dataset!J:J,"&gt;="&amp;$AD120/365)</f>
        <v>0</v>
      </c>
      <c r="AI120" s="101">
        <f>SUMIFS(Dataset!AJ:AJ,Dataset!F:F,'retorno absoluto'!$D$11,Dataset!AH:AH,"factura",Dataset!J:J,"&lt;"&amp;$AE120/365,Dataset!J:J,"&gt;="&amp;$AD120/365)</f>
        <v>0</v>
      </c>
      <c r="AJ120" s="102">
        <f>SUMIFS(Dataset!AJ:AJ,Dataset!F:F,'retorno absoluto'!$D$11,Dataset!AH:AH,"letra hipotecaria",Dataset!J:J,"&lt;"&amp;$AE120/365,Dataset!J:J,"&gt;="&amp;$AD120/365)</f>
        <v>0</v>
      </c>
      <c r="AK120" s="84">
        <f t="shared" si="14"/>
        <v>0</v>
      </c>
    </row>
    <row r="121" spans="3:40" ht="31.5" customHeight="1" x14ac:dyDescent="0.3">
      <c r="AD121" s="61">
        <v>1080</v>
      </c>
      <c r="AE121" s="100">
        <v>3600</v>
      </c>
      <c r="AF121" s="101">
        <f>SUMIFS(Dataset!AJ:AJ,Dataset!F:F,'retorno absoluto'!$D$11,Dataset!AH:AH,"deposito",Dataset!T:T,"$",Dataset!J:J,"&lt;"&amp;$AE121/365,Dataset!J:J,"&gt;="&amp;$AD121/365)</f>
        <v>0</v>
      </c>
      <c r="AG121" s="101">
        <f>SUMIFS(Dataset!AJ:AJ,Dataset!F:F,'retorno absoluto'!$D$11,Dataset!AH:AH,"deposito",Dataset!T:T,"uf",Dataset!J:J,"&lt;"&amp;$AE121/365,Dataset!J:J,"&gt;="&amp;$AD121/365)</f>
        <v>0</v>
      </c>
      <c r="AH121" s="101">
        <f>SUMIFS(Dataset!AJ:AJ,Dataset!F:F,'retorno absoluto'!$D$11,Dataset!AH:AH,"deposito",Dataset!T:T,"us$",Dataset!J:J,"&lt;"&amp;$AE121/365,Dataset!J:J,"&gt;="&amp;$AD121/365)</f>
        <v>0</v>
      </c>
      <c r="AI121" s="101">
        <f>SUMIFS(Dataset!AJ:AJ,Dataset!F:F,'retorno absoluto'!$D$11,Dataset!AH:AH,"factura",Dataset!J:J,"&lt;"&amp;$AE121/365,Dataset!J:J,"&gt;="&amp;$AD121/365)</f>
        <v>0</v>
      </c>
      <c r="AJ121" s="102">
        <f>SUMIFS(Dataset!AJ:AJ,Dataset!F:F,'retorno absoluto'!$D$11,Dataset!AH:AH,"letra hipotecaria",Dataset!J:J,"&lt;"&amp;$AE121/365,Dataset!J:J,"&gt;="&amp;$AD121/365)</f>
        <v>0</v>
      </c>
      <c r="AK121" s="84">
        <f t="shared" si="14"/>
        <v>0</v>
      </c>
    </row>
    <row r="122" spans="3:40" ht="31.5" customHeight="1" x14ac:dyDescent="0.3">
      <c r="AD122" s="61">
        <v>3600</v>
      </c>
      <c r="AE122" s="103">
        <v>10000</v>
      </c>
      <c r="AF122" s="104">
        <f>SUMIFS(Dataset!AJ:AJ,Dataset!F:F,'retorno absoluto'!$D$11,Dataset!AH:AH,"deposito",Dataset!T:T,"$",Dataset!J:J,"&lt;"&amp;$AE122/365,Dataset!J:J,"&gt;="&amp;$AD122/365)</f>
        <v>0</v>
      </c>
      <c r="AG122" s="104">
        <f>SUMIFS(Dataset!AJ:AJ,Dataset!F:F,'retorno absoluto'!$D$11,Dataset!AH:AH,"deposito",Dataset!T:T,"uf",Dataset!J:J,"&lt;"&amp;$AE122/365,Dataset!J:J,"&gt;="&amp;$AD122/365)</f>
        <v>0</v>
      </c>
      <c r="AH122" s="104">
        <f>SUMIFS(Dataset!AJ:AJ,Dataset!F:F,'retorno absoluto'!$D$11,Dataset!AH:AH,"deposito",Dataset!T:T,"us$",Dataset!J:J,"&lt;"&amp;$AE122/365,Dataset!J:J,"&gt;="&amp;$AD122/365)</f>
        <v>0</v>
      </c>
      <c r="AI122" s="104">
        <f>SUMIFS(Dataset!AJ:AJ,Dataset!F:F,'retorno absoluto'!$D$11,Dataset!AH:AH,"factura",Dataset!J:J,"&lt;"&amp;$AE122/365,Dataset!J:J,"&gt;="&amp;$AD122/365)</f>
        <v>0</v>
      </c>
      <c r="AJ122" s="105">
        <f>SUMIFS(Dataset!AJ:AJ,Dataset!F:F,'retorno absoluto'!$D$11,Dataset!AH:AH,"letra hipotecaria",Dataset!J:J,"&lt;"&amp;$AE122/365,Dataset!J:J,"&gt;="&amp;$AD122/365)</f>
        <v>0</v>
      </c>
      <c r="AK122" s="90">
        <f t="shared" si="14"/>
        <v>0</v>
      </c>
    </row>
    <row r="123" spans="3:40" ht="31.5" customHeight="1" x14ac:dyDescent="0.3">
      <c r="AD123" s="179"/>
      <c r="AE123" s="181"/>
      <c r="AF123" s="83">
        <f t="shared" ref="AF123:AK123" si="15">SUM(AF95:AF122)</f>
        <v>0</v>
      </c>
      <c r="AG123" s="83">
        <f t="shared" si="15"/>
        <v>0</v>
      </c>
      <c r="AH123" s="83">
        <f t="shared" si="15"/>
        <v>0</v>
      </c>
      <c r="AI123" s="83">
        <f t="shared" si="15"/>
        <v>0</v>
      </c>
      <c r="AJ123" s="83">
        <f t="shared" si="15"/>
        <v>0</v>
      </c>
      <c r="AK123" s="84">
        <f t="shared" si="15"/>
        <v>0</v>
      </c>
    </row>
    <row r="127" spans="3:40" ht="30" customHeight="1" x14ac:dyDescent="0.3"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  <c r="AB127" s="106"/>
      <c r="AC127" s="106"/>
      <c r="AD127" s="106"/>
      <c r="AE127" s="106"/>
      <c r="AF127" s="106"/>
      <c r="AG127" s="106"/>
      <c r="AH127" s="106"/>
      <c r="AI127" s="106"/>
      <c r="AJ127" s="106"/>
      <c r="AK127" s="106"/>
      <c r="AL127" s="106"/>
      <c r="AM127" s="106"/>
      <c r="AN127" s="106"/>
    </row>
    <row r="128" spans="3:40" ht="27" customHeight="1" x14ac:dyDescent="0.3">
      <c r="C128" s="173"/>
      <c r="D128" s="173"/>
      <c r="E128" s="173"/>
      <c r="F128" s="173"/>
      <c r="G128" s="173"/>
      <c r="H128" s="173"/>
      <c r="I128" s="173"/>
      <c r="J128" s="173"/>
      <c r="K128" s="173"/>
      <c r="L128" s="173"/>
      <c r="M128" s="173"/>
      <c r="N128" s="173"/>
      <c r="O128" s="173"/>
      <c r="P128" s="173"/>
      <c r="Q128" s="173"/>
      <c r="R128" s="173"/>
      <c r="S128" s="173"/>
      <c r="T128" s="173"/>
      <c r="U128" s="173"/>
      <c r="V128" s="173"/>
      <c r="W128" s="173"/>
      <c r="X128" s="173"/>
      <c r="Y128" s="173"/>
      <c r="Z128" s="173"/>
      <c r="AA128" s="173"/>
      <c r="AB128" s="173"/>
      <c r="AC128" s="173"/>
      <c r="AD128" s="173"/>
      <c r="AE128" s="173"/>
      <c r="AF128" s="173"/>
      <c r="AG128" s="173"/>
      <c r="AH128" s="173"/>
      <c r="AI128" s="173"/>
      <c r="AJ128" s="173"/>
      <c r="AK128" s="173"/>
      <c r="AL128" s="173"/>
      <c r="AM128" s="173"/>
      <c r="AN128" s="173"/>
    </row>
    <row r="129" spans="3:15" ht="40.5" customHeight="1" x14ac:dyDescent="0.4">
      <c r="C129" s="107" t="s">
        <v>70</v>
      </c>
      <c r="D129" s="42"/>
      <c r="E129" s="42"/>
    </row>
    <row r="131" spans="3:15" ht="27" customHeight="1" x14ac:dyDescent="0.3">
      <c r="O131" s="52"/>
    </row>
  </sheetData>
  <mergeCells count="20">
    <mergeCell ref="C37:G37"/>
    <mergeCell ref="L29:R29"/>
    <mergeCell ref="C90:D90"/>
    <mergeCell ref="AD123:AE123"/>
    <mergeCell ref="C3:AN3"/>
    <mergeCell ref="C4:AN4"/>
    <mergeCell ref="Q71:AA71"/>
    <mergeCell ref="AC71:AM71"/>
    <mergeCell ref="C128:AN128"/>
    <mergeCell ref="E50:L50"/>
    <mergeCell ref="C12:I12"/>
    <mergeCell ref="L12:R12"/>
    <mergeCell ref="AD94:AE94"/>
    <mergeCell ref="AD92:AK92"/>
    <mergeCell ref="C69:D69"/>
    <mergeCell ref="E71:O71"/>
    <mergeCell ref="W50:AD50"/>
    <mergeCell ref="N50:U50"/>
    <mergeCell ref="C73:D73"/>
    <mergeCell ref="C52:D52"/>
  </mergeCells>
  <conditionalFormatting sqref="E53:L68">
    <cfRule type="colorScale" priority="10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N53:U68">
    <cfRule type="colorScale" priority="8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W53:AD68">
    <cfRule type="colorScale" priority="7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E74:O89">
    <cfRule type="colorScale" priority="6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Q74:AA89">
    <cfRule type="colorScale" priority="3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AC74:AM89">
    <cfRule type="colorScale" priority="2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AF95:AJ122">
    <cfRule type="colorScale" priority="1">
      <colorScale>
        <cfvo type="min"/>
        <cfvo type="max"/>
        <color theme="0"/>
        <color theme="5" tint="0.59999389629810485"/>
      </colorScale>
    </cfRule>
  </conditionalFormatting>
  <printOptions horizontalCentered="1"/>
  <pageMargins left="0" right="0" top="0" bottom="0" header="0" footer="0"/>
  <pageSetup scale="1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  <pageSetUpPr fitToPage="1"/>
  </sheetPr>
  <dimension ref="B3:AI135"/>
  <sheetViews>
    <sheetView showGridLines="0" showZeros="0" topLeftCell="C4" zoomScale="25" zoomScaleNormal="25" zoomScalePageLayoutView="10" workbookViewId="0">
      <selection activeCell="K108" sqref="K108"/>
    </sheetView>
  </sheetViews>
  <sheetFormatPr baseColWidth="10" defaultRowHeight="27" customHeight="1" x14ac:dyDescent="0.3"/>
  <cols>
    <col min="1" max="1" width="11" style="22" customWidth="1"/>
    <col min="2" max="2" width="9.75" style="22" customWidth="1"/>
    <col min="3" max="3" width="32.5" style="22" customWidth="1"/>
    <col min="4" max="4" width="32.25" style="22" customWidth="1"/>
    <col min="5" max="5" width="27" style="22" customWidth="1"/>
    <col min="6" max="6" width="31.125" style="22" customWidth="1"/>
    <col min="7" max="7" width="25.875" style="22" customWidth="1"/>
    <col min="8" max="8" width="33.5" style="22" customWidth="1"/>
    <col min="9" max="9" width="29.25" style="22" customWidth="1"/>
    <col min="10" max="10" width="28.125" style="22" customWidth="1"/>
    <col min="11" max="11" width="27.375" style="22" customWidth="1"/>
    <col min="12" max="12" width="42.625" style="22" customWidth="1"/>
    <col min="13" max="13" width="24.625" style="22" customWidth="1"/>
    <col min="14" max="14" width="28.75" style="22" customWidth="1"/>
    <col min="15" max="15" width="33.125" style="22" customWidth="1"/>
    <col min="16" max="16" width="35.375" style="22" customWidth="1"/>
    <col min="17" max="17" width="20.75" style="22" customWidth="1"/>
    <col min="18" max="18" width="19.875" style="22" customWidth="1"/>
    <col min="19" max="19" width="25.25" style="22" customWidth="1"/>
    <col min="20" max="20" width="29" style="22" customWidth="1"/>
    <col min="21" max="21" width="32.375" style="22" customWidth="1"/>
    <col min="22" max="22" width="28.75" style="22" customWidth="1"/>
    <col min="23" max="23" width="18.875" style="22" customWidth="1"/>
    <col min="24" max="24" width="21.125" style="22" customWidth="1"/>
    <col min="25" max="25" width="26.625" style="22" customWidth="1"/>
    <col min="26" max="26" width="26.125" style="22" customWidth="1"/>
    <col min="27" max="27" width="31.75" style="22" customWidth="1"/>
    <col min="28" max="28" width="38.5" style="22" customWidth="1"/>
    <col min="29" max="29" width="25.125" style="22" customWidth="1"/>
    <col min="30" max="30" width="20" style="22" customWidth="1"/>
    <col min="31" max="31" width="30.25" style="22" customWidth="1"/>
    <col min="32" max="32" width="27.625" style="22" customWidth="1"/>
    <col min="33" max="33" width="36" style="22" customWidth="1"/>
    <col min="34" max="34" width="16.5" style="22" customWidth="1"/>
    <col min="35" max="35" width="32" style="22" customWidth="1"/>
    <col min="36" max="16384" width="11" style="22"/>
  </cols>
  <sheetData>
    <row r="3" spans="3:35" ht="81" customHeight="1" x14ac:dyDescent="0.3">
      <c r="C3" s="174" t="s">
        <v>220</v>
      </c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</row>
    <row r="4" spans="3:35" ht="54" customHeight="1" x14ac:dyDescent="0.3">
      <c r="C4" s="175" t="str">
        <f>TEXT(Historical!H2," mmmm dd, aaaa")</f>
        <v xml:space="preserve"> marzo 06, martes</v>
      </c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</row>
    <row r="6" spans="3:35" ht="6" customHeight="1" x14ac:dyDescent="0.3"/>
    <row r="7" spans="3:35" ht="27" customHeight="1" x14ac:dyDescent="0.3">
      <c r="F7" s="45"/>
    </row>
    <row r="8" spans="3:35" ht="15" customHeight="1" x14ac:dyDescent="0.3"/>
    <row r="9" spans="3:35" ht="9" customHeight="1" x14ac:dyDescent="0.8">
      <c r="D9" s="46"/>
      <c r="E9" s="47"/>
    </row>
    <row r="10" spans="3:35" ht="15" customHeight="1" x14ac:dyDescent="0.3"/>
    <row r="11" spans="3:35" ht="63" customHeight="1" x14ac:dyDescent="0.8">
      <c r="D11" s="48" t="s">
        <v>49</v>
      </c>
      <c r="E11" s="49"/>
    </row>
    <row r="13" spans="3:35" ht="57" customHeight="1" x14ac:dyDescent="0.3">
      <c r="C13" s="176" t="s">
        <v>108</v>
      </c>
      <c r="D13" s="176"/>
      <c r="E13" s="176"/>
      <c r="F13" s="176"/>
      <c r="G13" s="176"/>
      <c r="H13" s="176"/>
      <c r="I13" s="176"/>
      <c r="O13" s="50"/>
      <c r="P13" s="50"/>
      <c r="Q13" s="50"/>
      <c r="R13" s="50"/>
      <c r="S13" s="50"/>
      <c r="T13" s="50"/>
    </row>
    <row r="14" spans="3:35" ht="51" customHeight="1" x14ac:dyDescent="0.3">
      <c r="J14" s="50"/>
    </row>
    <row r="15" spans="3:35" ht="41.25" customHeight="1" x14ac:dyDescent="0.4">
      <c r="C15" s="53"/>
      <c r="D15" s="54" t="s">
        <v>66</v>
      </c>
      <c r="E15" s="54" t="s">
        <v>221</v>
      </c>
      <c r="F15" s="54" t="s">
        <v>71</v>
      </c>
      <c r="G15" s="54" t="s">
        <v>5</v>
      </c>
      <c r="H15" s="54" t="s">
        <v>6</v>
      </c>
      <c r="I15" s="54" t="s">
        <v>21</v>
      </c>
      <c r="K15" s="176" t="s">
        <v>223</v>
      </c>
      <c r="L15" s="176"/>
      <c r="M15" s="176"/>
      <c r="N15" s="176"/>
      <c r="O15" s="176"/>
      <c r="P15" s="176"/>
      <c r="Q15" s="176"/>
      <c r="R15" s="176"/>
    </row>
    <row r="16" spans="3:35" ht="35.25" customHeight="1" x14ac:dyDescent="0.5">
      <c r="C16" s="57" t="s">
        <v>91</v>
      </c>
      <c r="D16" s="58">
        <f>SUMIFS(Dataset!AK:AK,Dataset!F:F,credito!D11,Dataset!AH:AH,"deposito", Dataset!T:T,"$")</f>
        <v>6.2350878329907556E-3</v>
      </c>
      <c r="E16" s="58">
        <f>SUMIFS(Dataset!AJ:AJ,Dataset!F:F,credito!D11,Dataset!AH:AH,"deposito", Dataset!T:T,"$")</f>
        <v>6.2350878329907556E-3</v>
      </c>
      <c r="F16" s="59">
        <f>SUMIFS(Dataset!V:V,Dataset!F:F,credito!D11,Dataset!AH:AH,"deposito", Dataset!T:T,"$")/1000000</f>
        <v>920.56564400000002</v>
      </c>
      <c r="G16" s="60">
        <f>SUMIFS(Dataset!H:H,Dataset!F:F,credito!D11,Dataset!AH:AH,"deposito", Dataset!T:T,"$")</f>
        <v>3.3761143759000571E-3</v>
      </c>
      <c r="H16" s="58">
        <f>SUMIFS(Dataset!I:I,Dataset!F:F,credito!D11,Dataset!AH:AH,"deposito", Dataset!T:T,"$")</f>
        <v>-2.5671129820630686E-6</v>
      </c>
      <c r="I16" s="58">
        <f>SUMIFS(Dataset!AA:AA,Dataset!F:F,credito!D11,Dataset!AH:AH,"deposito", Dataset!T:T,"$")</f>
        <v>-1.07358145506232E-3</v>
      </c>
      <c r="W16" s="56"/>
    </row>
    <row r="17" spans="3:26" ht="35.25" customHeight="1" x14ac:dyDescent="0.5">
      <c r="C17" s="57" t="s">
        <v>60</v>
      </c>
      <c r="D17" s="58">
        <f>SUMIFS(Dataset!AK:AK,Dataset!F:F,credito!D11,Dataset!AH:AH,"deposito", Dataset!T:T,"uf")</f>
        <v>0</v>
      </c>
      <c r="E17" s="58">
        <f>SUMIFS(Dataset!AJ:AJ,Dataset!F:F,credito!D11,Dataset!AH:AH,"deposito", Dataset!T:T,"uf")</f>
        <v>0</v>
      </c>
      <c r="F17" s="59">
        <f>SUMIFS(Dataset!V:V,Dataset!F:F,credito!D11,Dataset!AH:AH,"deposito", Dataset!T:T,"uf")/1000000</f>
        <v>0</v>
      </c>
      <c r="G17" s="60">
        <f>SUMIFS(Dataset!H:H,Dataset!F:F,credito!D11,Dataset!AH:AH,"deposito", Dataset!T:T,"uf")</f>
        <v>0</v>
      </c>
      <c r="H17" s="58">
        <f>SUMIFS(Dataset!I:I,Dataset!F:F,credito!D11,Dataset!AH:AH,"deposito", Dataset!T:T,"uf")</f>
        <v>0</v>
      </c>
      <c r="I17" s="58">
        <f>SUMIFS(Dataset!AA:AA,Dataset!F:F,credito!D11,Dataset!AH:AH,"deposito", Dataset!T:T,"uf")</f>
        <v>0</v>
      </c>
      <c r="K17" s="55" t="s">
        <v>81</v>
      </c>
      <c r="L17" s="55" t="s">
        <v>82</v>
      </c>
      <c r="M17" s="55" t="s">
        <v>66</v>
      </c>
      <c r="N17" s="55" t="s">
        <v>221</v>
      </c>
      <c r="O17" s="55" t="s">
        <v>6</v>
      </c>
      <c r="P17" s="55" t="s">
        <v>67</v>
      </c>
      <c r="Q17" s="55" t="s">
        <v>21</v>
      </c>
      <c r="R17" s="55" t="s">
        <v>68</v>
      </c>
      <c r="Z17" s="62"/>
    </row>
    <row r="18" spans="3:26" ht="35.25" customHeight="1" x14ac:dyDescent="0.5">
      <c r="C18" s="57" t="s">
        <v>92</v>
      </c>
      <c r="D18" s="58">
        <f>SUMIFS(Dataset!AK:AK,Dataset!F:F,credito!D11,Dataset!AH:AH,"bono de gobierno", Dataset!T:T,"$")</f>
        <v>0</v>
      </c>
      <c r="E18" s="58">
        <f>SUMIFS(Dataset!AJ:AJ,Dataset!F:F,credito!D11,Dataset!AH:AH,"bono de gobierno", Dataset!T:T,"$")</f>
        <v>0</v>
      </c>
      <c r="F18" s="59">
        <f>SUMIFS(Dataset!V:V,Dataset!F:F,credito!D11,Dataset!AH:AH,"bono de gobierno", Dataset!T:T,"$")/1000000</f>
        <v>0</v>
      </c>
      <c r="G18" s="60">
        <f>SUMIFS(Dataset!H:H,Dataset!F:F,credito!D11,Dataset!AH:AH,"bono de gobierno", Dataset!T:T,"$")</f>
        <v>0</v>
      </c>
      <c r="H18" s="58">
        <f>SUMIFS(Dataset!I:I,Dataset!F:F,credito!D11,Dataset!AH:AH,"bono de gobierno", Dataset!T:T,"$")</f>
        <v>0</v>
      </c>
      <c r="I18" s="58">
        <f>SUMIFS(Dataset!AA:AA,Dataset!F:F,credito!D11,Dataset!AH:AH,"bono de gobierno", Dataset!T:T,"$")</f>
        <v>0</v>
      </c>
      <c r="K18" s="61">
        <v>1</v>
      </c>
      <c r="L18" s="58" t="str">
        <f>IFERROR(INDEX(Dataset!G:G,MATCH(_xlfn.AGGREGATE(14,6,Dataset!AK:AK/(Dataset!F:F=$D$11),K18),Dataset!AK:AK,0),1),"-")</f>
        <v>BLATM-A</v>
      </c>
      <c r="M18" s="58">
        <f>IFERROR(INDEX(Dataset!AK:AK,MATCH(_xlfn.AGGREGATE(14,6,Dataset!AK:AK/(Dataset!F:F=$D$11),K18),Dataset!AK:AK,0),1),"-")</f>
        <v>2.9372707344677403E-2</v>
      </c>
      <c r="N18" s="58">
        <f>IFERROR(INDEX(Dataset!AJ:AJ,MATCH(_xlfn.AGGREGATE(14,6,Dataset!AK:AK/(Dataset!F:F=$D$11),K18),Dataset!AK:AK,0),1),"-")</f>
        <v>1.7957935869221404E-2</v>
      </c>
      <c r="O18" s="58">
        <f>IFERROR(INDEX(Dataset!I:I,MATCH(_xlfn.AGGREGATE(14,6,Dataset!AK:AK/(Dataset!F:F=$D$11),K18),Dataset!AK:AK,0),1),"-")</f>
        <v>-4.2236148363366846E-5</v>
      </c>
      <c r="P18" s="58">
        <f>IFERROR(INDEX(Dataset!R:R,MATCH(_xlfn.AGGREGATE(14,6,Dataset!AK:AK/(Dataset!F:F=$D$11),K18),Dataset!AK:AK,0),1),"-")/100</f>
        <v>-2.3519489473039346E-5</v>
      </c>
      <c r="Q18" s="58">
        <f>IFERROR(INDEX(Dataset!AA:AA,MATCH(_xlfn.AGGREGATE(14,6,Dataset!AK:AK/(Dataset!F:F=$D$11),K18),Dataset!AK:AK,0),1),"-")</f>
        <v>-1.7663400844839559E-2</v>
      </c>
      <c r="R18" s="60">
        <f>IFERROR(INDEX(Dataset!J:J,MATCH(_xlfn.AGGREGATE(14,6,Dataset!AK:AK/(Dataset!F:F=$D$11),K18),Dataset!AK:AK,0),1),"-")</f>
        <v>3.83</v>
      </c>
    </row>
    <row r="19" spans="3:26" ht="35.25" customHeight="1" x14ac:dyDescent="0.5">
      <c r="C19" s="57" t="s">
        <v>63</v>
      </c>
      <c r="D19" s="58">
        <f>SUMIFS(Dataset!AK:AK,Dataset!F:F,credito!D11,Dataset!AH:AH,"bono de gobierno", Dataset!T:T,"uf")</f>
        <v>2.4643468838122844E-2</v>
      </c>
      <c r="E19" s="58">
        <f>SUMIFS(Dataset!AJ:AJ,Dataset!F:F,credito!D11,Dataset!AH:AH,"bono de gobierno", Dataset!T:T,"uf")</f>
        <v>2.4643468838122844E-2</v>
      </c>
      <c r="F19" s="59">
        <f>SUMIFS(Dataset!V:V,Dataset!F:F,credito!D11,Dataset!AH:AH,"bono de gobierno", Dataset!T:T,"uf")/1000000</f>
        <v>3638.430022</v>
      </c>
      <c r="G19" s="60">
        <f>SUMIFS(Dataset!H:H,Dataset!F:F,credito!D11,Dataset!AH:AH,"bono de gobierno", Dataset!T:T,"uf")</f>
        <v>0.10407196781488608</v>
      </c>
      <c r="H19" s="58">
        <f>SUMIFS(Dataset!I:I,Dataset!F:F,credito!D11,Dataset!AH:AH,"bono de gobierno", Dataset!T:T,"uf")</f>
        <v>-5.8144196243218484E-5</v>
      </c>
      <c r="I19" s="58">
        <f>SUMIFS(Dataset!AA:AA,Dataset!F:F,credito!D11,Dataset!AH:AH,"bono de gobierno", Dataset!T:T,"uf")</f>
        <v>-2.431623821872363E-2</v>
      </c>
      <c r="K19" s="61">
        <v>2</v>
      </c>
      <c r="L19" s="58" t="str">
        <f>IFERROR(INDEX(Dataset!G:G,MATCH(_xlfn.AGGREGATE(14,6,Dataset!AK:AK/(Dataset!F:F=$D$11),K19),Dataset!AK:AK,0),1),"-")</f>
        <v>BRENT-C</v>
      </c>
      <c r="M19" s="58">
        <f>IFERROR(INDEX(Dataset!AK:AK,MATCH(_xlfn.AGGREGATE(14,6,Dataset!AK:AK/(Dataset!F:F=$D$11),K19),Dataset!AK:AK,0),1),"-")</f>
        <v>2.2812234308391171E-2</v>
      </c>
      <c r="N19" s="58">
        <f>IFERROR(INDEX(Dataset!AJ:AJ,MATCH(_xlfn.AGGREGATE(14,6,Dataset!AK:AK/(Dataset!F:F=$D$11),K19),Dataset!AK:AK,0),1),"-")</f>
        <v>2.2812234308391171E-2</v>
      </c>
      <c r="O19" s="58">
        <f>IFERROR(INDEX(Dataset!I:I,MATCH(_xlfn.AGGREGATE(14,6,Dataset!AK:AK/(Dataset!F:F=$D$11),K19),Dataset!AK:AK,0),1),"-")</f>
        <v>-1.2019393849968474E-4</v>
      </c>
      <c r="P19" s="58">
        <f>IFERROR(INDEX(Dataset!R:R,MATCH(_xlfn.AGGREGATE(14,6,Dataset!AK:AK/(Dataset!F:F=$D$11),K19),Dataset!AK:AK,0),1),"-")/100</f>
        <v>-5.268836751140726E-5</v>
      </c>
      <c r="Q19" s="58">
        <f>IFERROR(INDEX(Dataset!AA:AA,MATCH(_xlfn.AGGREGATE(14,6,Dataset!AK:AK/(Dataset!F:F=$D$11),K19),Dataset!AK:AK,0),1),"-")</f>
        <v>-5.0265798305636225E-2</v>
      </c>
      <c r="R19" s="60">
        <f>IFERROR(INDEX(Dataset!J:J,MATCH(_xlfn.AGGREGATE(14,6,Dataset!AK:AK/(Dataset!F:F=$D$11),K19),Dataset!AK:AK,0),1),"-")</f>
        <v>9.2100000000000009</v>
      </c>
      <c r="X19" s="52"/>
      <c r="Y19" s="63"/>
    </row>
    <row r="20" spans="3:26" ht="35.25" customHeight="1" x14ac:dyDescent="0.5">
      <c r="C20" s="57" t="s">
        <v>114</v>
      </c>
      <c r="D20" s="58">
        <f>SUMIFS(Dataset!AK:AK,Dataset!F:F,credito!D11,Dataset!AH:AH,"bono de gobierno", Dataset!T:T,"us$")</f>
        <v>0</v>
      </c>
      <c r="E20" s="58">
        <f>SUMIFS(Dataset!AJ:AJ,Dataset!F:F,credito!D11,Dataset!AH:AH,"bono de gobierno", Dataset!T:T,"us$")</f>
        <v>0</v>
      </c>
      <c r="F20" s="59">
        <f>SUMIFS(Dataset!V:V,Dataset!F:F,credito!D11,Dataset!AH:AH,"bono de gobierno", Dataset!T:T,"us$")/1000000</f>
        <v>0</v>
      </c>
      <c r="G20" s="60">
        <f>SUMIFS(Dataset!H:H,Dataset!F:F,credito!D11,Dataset!AH:AH,"bono de gobierno", Dataset!T:T,"us$")</f>
        <v>0</v>
      </c>
      <c r="H20" s="58">
        <f>SUMIFS(Dataset!I:I,Dataset!F:F,credito!D11,Dataset!AH:AH,"bono de gobierno", Dataset!T:T,"us$")</f>
        <v>0</v>
      </c>
      <c r="I20" s="58">
        <f>SUMIFS(Dataset!AA:AA,Dataset!F:F,credito!D11,Dataset!AH:AH,"bono de gobierno", Dataset!T:T,"us$")</f>
        <v>0</v>
      </c>
      <c r="K20" s="61">
        <v>3</v>
      </c>
      <c r="L20" s="58" t="str">
        <f>IFERROR(INDEX(Dataset!G:G,MATCH(_xlfn.AGGREGATE(14,6,Dataset!AK:AK/(Dataset!F:F=$D$11),K20),Dataset!AK:AK,0),1),"-")</f>
        <v>BUDC-A</v>
      </c>
      <c r="M20" s="58">
        <f>IFERROR(INDEX(Dataset!AK:AK,MATCH(_xlfn.AGGREGATE(14,6,Dataset!AK:AK/(Dataset!F:F=$D$11),K20),Dataset!AK:AK,0),1),"-")</f>
        <v>2.2636219378199957E-2</v>
      </c>
      <c r="N20" s="58">
        <f>IFERROR(INDEX(Dataset!AJ:AJ,MATCH(_xlfn.AGGREGATE(14,6,Dataset!AK:AK/(Dataset!F:F=$D$11),K20),Dataset!AK:AK,0),1),"-")</f>
        <v>-1.0253126697930409E-3</v>
      </c>
      <c r="O20" s="58">
        <f>IFERROR(INDEX(Dataset!I:I,MATCH(_xlfn.AGGREGATE(14,6,Dataset!AK:AK/(Dataset!F:F=$D$11),K20),Dataset!AK:AK,0),1),"-")</f>
        <v>2.0112475645734155E-6</v>
      </c>
      <c r="P20" s="58">
        <f>IFERROR(INDEX(Dataset!R:R,MATCH(_xlfn.AGGREGATE(14,6,Dataset!AK:AK/(Dataset!F:F=$D$11),K20),Dataset!AK:AK,0),1),"-")/100</f>
        <v>-1.9615943739185291E-5</v>
      </c>
      <c r="Q20" s="58">
        <f>IFERROR(INDEX(Dataset!AA:AA,MATCH(_xlfn.AGGREGATE(14,6,Dataset!AK:AK/(Dataset!F:F=$D$11),K20),Dataset!AK:AK,0),1),"-")</f>
        <v>8.4111533148416252E-4</v>
      </c>
      <c r="R20" s="60">
        <f>IFERROR(INDEX(Dataset!J:J,MATCH(_xlfn.AGGREGATE(14,6,Dataset!AK:AK/(Dataset!F:F=$D$11),K20),Dataset!AK:AK,0),1),"-")</f>
        <v>2.69</v>
      </c>
    </row>
    <row r="21" spans="3:26" ht="35.25" customHeight="1" x14ac:dyDescent="0.5">
      <c r="C21" s="57" t="s">
        <v>87</v>
      </c>
      <c r="D21" s="58">
        <f>SUMIFS(Dataset!AK:AK,Dataset!F:F,credito!D11,Dataset!AH:AH,"bono de gobierno", Dataset!T:T,"eu")</f>
        <v>0</v>
      </c>
      <c r="E21" s="58">
        <f>SUMIFS(Dataset!AJ:AJ,Dataset!F:F,credito!D11,Dataset!AH:AH,"bono de gobierno", Dataset!T:T,"eu")</f>
        <v>0</v>
      </c>
      <c r="F21" s="59">
        <f>SUMIFS(Dataset!V:V,Dataset!F:F,credito!D11,Dataset!AH:AH,"bono de gobierno", Dataset!T:T,"eu")/1000000</f>
        <v>0</v>
      </c>
      <c r="G21" s="60">
        <f>SUMIFS(Dataset!H:H,Dataset!F:F,credito!D11,Dataset!AH:AH,"bono de gobierno", Dataset!T:T,"eu")</f>
        <v>0</v>
      </c>
      <c r="H21" s="58">
        <f>SUMIFS(Dataset!I:I,Dataset!F:F,credito!D11,Dataset!AH:AH,"bono de gobierno", Dataset!T:T,"eu")</f>
        <v>0</v>
      </c>
      <c r="I21" s="58">
        <f>SUMIFS(Dataset!AA:AA,Dataset!F:F,credito!D11,Dataset!AH:AH,"bono de gobierno", Dataset!T:T,"eu")</f>
        <v>0</v>
      </c>
      <c r="K21" s="61">
        <v>4</v>
      </c>
      <c r="L21" s="58" t="str">
        <f>IFERROR(INDEX(Dataset!G:G,MATCH(_xlfn.AGGREGATE(14,6,Dataset!AK:AK/(Dataset!F:F=$D$11),K21),Dataset!AK:AK,0),1),"-")</f>
        <v>BAVNO-A1</v>
      </c>
      <c r="M21" s="58">
        <f>IFERROR(INDEX(Dataset!AK:AK,MATCH(_xlfn.AGGREGATE(14,6,Dataset!AK:AK/(Dataset!F:F=$D$11),K21),Dataset!AK:AK,0),1),"-")</f>
        <v>2.2158761277094857E-2</v>
      </c>
      <c r="N21" s="58">
        <f>IFERROR(INDEX(Dataset!AJ:AJ,MATCH(_xlfn.AGGREGATE(14,6,Dataset!AK:AK/(Dataset!F:F=$D$11),K21),Dataset!AK:AK,0),1),"-")</f>
        <v>2.2158761277094857E-2</v>
      </c>
      <c r="O21" s="58">
        <f>IFERROR(INDEX(Dataset!I:I,MATCH(_xlfn.AGGREGATE(14,6,Dataset!AK:AK/(Dataset!F:F=$D$11),K21),Dataset!AK:AK,0),1),"-")</f>
        <v>-1.3072917727396543E-5</v>
      </c>
      <c r="P21" s="58">
        <f>IFERROR(INDEX(Dataset!R:R,MATCH(_xlfn.AGGREGATE(14,6,Dataset!AK:AK/(Dataset!F:F=$D$11),K21),Dataset!AK:AK,0),1),"-")/100</f>
        <v>-5.8996608898484775E-6</v>
      </c>
      <c r="Q21" s="58">
        <f>IFERROR(INDEX(Dataset!AA:AA,MATCH(_xlfn.AGGREGATE(14,6,Dataset!AK:AK/(Dataset!F:F=$D$11),K21),Dataset!AK:AK,0),1),"-")</f>
        <v>-5.4671695923602208E-3</v>
      </c>
      <c r="R21" s="60">
        <f>IFERROR(INDEX(Dataset!J:J,MATCH(_xlfn.AGGREGATE(14,6,Dataset!AK:AK/(Dataset!F:F=$D$11),K21),Dataset!AK:AK,0),1),"-")</f>
        <v>5.56</v>
      </c>
    </row>
    <row r="22" spans="3:26" ht="35.25" customHeight="1" x14ac:dyDescent="0.5">
      <c r="C22" s="57" t="s">
        <v>158</v>
      </c>
      <c r="D22" s="58">
        <f>SUMIFS(Dataset!AK:AK,Dataset!F:F,credito!D11,Dataset!AH:AH,"bono de gobierno", Dataset!T:T,"mx")</f>
        <v>0</v>
      </c>
      <c r="E22" s="58">
        <f>SUMIFS(Dataset!AJ:AJ,Dataset!F:F,credito!D11,Dataset!AH:AH,"bono de gobierno", Dataset!T:T,"mx")</f>
        <v>0</v>
      </c>
      <c r="F22" s="59">
        <f>SUMIFS(Dataset!V:V,Dataset!F:F,credito!D11,Dataset!AH:AH,"bono de gobierno", Dataset!T:T,"mx")/1000000</f>
        <v>0</v>
      </c>
      <c r="G22" s="60">
        <f>SUMIFS(Dataset!H:H,Dataset!F:F,credito!D11,Dataset!AH:AH,"bono de gobierno", Dataset!T:T,"mx")</f>
        <v>0</v>
      </c>
      <c r="H22" s="58">
        <f>SUMIFS(Dataset!I:I,Dataset!F:F,credito!D11,Dataset!AH:AH,"bono de gobierno", Dataset!T:T,"mx")</f>
        <v>0</v>
      </c>
      <c r="I22" s="58">
        <f>SUMIFS(Dataset!AA:AA,Dataset!F:F,credito!D11,Dataset!AH:AH,"bono de gobierno", Dataset!T:T,"mx")</f>
        <v>0</v>
      </c>
      <c r="K22" s="61">
        <v>5</v>
      </c>
      <c r="L22" s="58" t="str">
        <f>IFERROR(INDEX(Dataset!G:G,MATCH(_xlfn.AGGREGATE(14,6,Dataset!AK:AK/(Dataset!F:F=$D$11),K22),Dataset!AK:AK,0),1),"-")</f>
        <v>BSOQU-H</v>
      </c>
      <c r="M22" s="58">
        <f>IFERROR(INDEX(Dataset!AK:AK,MATCH(_xlfn.AGGREGATE(14,6,Dataset!AK:AK/(Dataset!F:F=$D$11),K22),Dataset!AK:AK,0),1),"-")</f>
        <v>2.184038509289471E-2</v>
      </c>
      <c r="N22" s="58">
        <f>IFERROR(INDEX(Dataset!AJ:AJ,MATCH(_xlfn.AGGREGATE(14,6,Dataset!AK:AK/(Dataset!F:F=$D$11),K22),Dataset!AK:AK,0),1),"-")</f>
        <v>2.184038509289471E-2</v>
      </c>
      <c r="O22" s="58">
        <f>IFERROR(INDEX(Dataset!I:I,MATCH(_xlfn.AGGREGATE(14,6,Dataset!AK:AK/(Dataset!F:F=$D$11),K22),Dataset!AK:AK,0),1),"-")</f>
        <v>-1.2885086575178063E-5</v>
      </c>
      <c r="P22" s="58">
        <f>IFERROR(INDEX(Dataset!R:R,MATCH(_xlfn.AGGREGATE(14,6,Dataset!AK:AK/(Dataset!F:F=$D$11),K22),Dataset!AK:AK,0),1),"-")/100</f>
        <v>-5.8996608898484775E-6</v>
      </c>
      <c r="Q22" s="58">
        <f>IFERROR(INDEX(Dataset!AA:AA,MATCH(_xlfn.AGGREGATE(14,6,Dataset!AK:AK/(Dataset!F:F=$D$11),K22),Dataset!AK:AK,0),1),"-")</f>
        <v>-5.3886175211760807E-3</v>
      </c>
      <c r="R22" s="60">
        <f>IFERROR(INDEX(Dataset!J:J,MATCH(_xlfn.AGGREGATE(14,6,Dataset!AK:AK/(Dataset!F:F=$D$11),K22),Dataset!AK:AK,0),1),"-")</f>
        <v>5.72</v>
      </c>
    </row>
    <row r="23" spans="3:26" ht="35.25" customHeight="1" x14ac:dyDescent="0.5">
      <c r="C23" s="57" t="s">
        <v>94</v>
      </c>
      <c r="D23" s="58">
        <f>SUMIFS(Dataset!AK:AK,Dataset!F:F,credito!D11,Dataset!AH:AH,"bono corporativo", Dataset!T:T,"$")</f>
        <v>0.10339824373856199</v>
      </c>
      <c r="E23" s="58">
        <f>SUMIFS(Dataset!AJ:AJ,Dataset!F:F,credito!D11,Dataset!AH:AH,"bono corporativo", Dataset!T:T,"$")</f>
        <v>7.4245959817718588E-2</v>
      </c>
      <c r="F23" s="59">
        <f>SUMIFS(Dataset!V:V,Dataset!F:F,credito!D11,Dataset!AH:AH,"bono corporativo", Dataset!T:T,"$")/1000000</f>
        <v>15266.003204000001</v>
      </c>
      <c r="G23" s="60">
        <f>SUMIFS(Dataset!H:H,Dataset!F:F,credito!D11,Dataset!AH:AH,"bono corporativo", Dataset!T:T,"$")</f>
        <v>0.3291067712504101</v>
      </c>
      <c r="H23" s="58">
        <f>SUMIFS(Dataset!I:I,Dataset!F:F,credito!D11,Dataset!AH:AH,"bono corporativo", Dataset!T:T,"$")</f>
        <v>1.1061065361545463E-4</v>
      </c>
      <c r="I23" s="58">
        <f>SUMIFS(Dataset!AA:AA,Dataset!F:F,credito!D11,Dataset!AH:AH,"bono corporativo", Dataset!T:T,"$")</f>
        <v>4.6258013294935153E-2</v>
      </c>
      <c r="K23" s="61">
        <v>6</v>
      </c>
      <c r="L23" s="58" t="str">
        <f>IFERROR(INDEX(Dataset!G:G,MATCH(_xlfn.AGGREGATE(14,6,Dataset!AK:AK/(Dataset!F:F=$D$11),K23),Dataset!AK:AK,0),1),"-")</f>
        <v>BAGRS-D</v>
      </c>
      <c r="M23" s="58">
        <f>IFERROR(INDEX(Dataset!AK:AK,MATCH(_xlfn.AGGREGATE(14,6,Dataset!AK:AK/(Dataset!F:F=$D$11),K23),Dataset!AK:AK,0),1),"-")</f>
        <v>1.9970435047543412E-2</v>
      </c>
      <c r="N23" s="58">
        <f>IFERROR(INDEX(Dataset!AJ:AJ,MATCH(_xlfn.AGGREGATE(14,6,Dataset!AK:AK/(Dataset!F:F=$D$11),K23),Dataset!AK:AK,0),1),"-")</f>
        <v>1.9970435047543412E-2</v>
      </c>
      <c r="O23" s="58">
        <f>IFERROR(INDEX(Dataset!I:I,MATCH(_xlfn.AGGREGATE(14,6,Dataset!AK:AK/(Dataset!F:F=$D$11),K23),Dataset!AK:AK,0),1),"-")</f>
        <v>-5.8417397167306735E-6</v>
      </c>
      <c r="P23" s="58">
        <f>IFERROR(INDEX(Dataset!R:R,MATCH(_xlfn.AGGREGATE(14,6,Dataset!AK:AK/(Dataset!F:F=$D$11),K23),Dataset!AK:AK,0),1),"-")/100</f>
        <v>-2.9251940194709342E-6</v>
      </c>
      <c r="Q23" s="58">
        <f>IFERROR(INDEX(Dataset!AA:AA,MATCH(_xlfn.AGGREGATE(14,6,Dataset!AK:AK/(Dataset!F:F=$D$11),K23),Dataset!AK:AK,0),1),"-")</f>
        <v>-2.4430492420878503E-3</v>
      </c>
      <c r="R23" s="60">
        <f>IFERROR(INDEX(Dataset!J:J,MATCH(_xlfn.AGGREGATE(14,6,Dataset!AK:AK/(Dataset!F:F=$D$11),K23),Dataset!AK:AK,0),1),"-")</f>
        <v>7.91</v>
      </c>
    </row>
    <row r="24" spans="3:26" ht="35.25" customHeight="1" x14ac:dyDescent="0.5">
      <c r="C24" s="57" t="s">
        <v>69</v>
      </c>
      <c r="D24" s="58">
        <f>SUMIFS(Dataset!AK:AK,Dataset!F:F,credito!D11,Dataset!AH:AH,"bono corporativo", Dataset!T:T,"uf")</f>
        <v>0.82140528411476343</v>
      </c>
      <c r="E24" s="58">
        <f>SUMIFS(Dataset!AJ:AJ,Dataset!F:F,credito!D11,Dataset!AH:AH,"bono corporativo", Dataset!T:T,"uf")</f>
        <v>-0.1733825016175197</v>
      </c>
      <c r="F24" s="59">
        <f>SUMIFS(Dataset!V:V,Dataset!F:F,credito!D11,Dataset!AH:AH,"bono corporativo", Dataset!T:T,"uf")/1000000</f>
        <v>121274.552117</v>
      </c>
      <c r="G24" s="60">
        <f>SUMIFS(Dataset!H:H,Dataset!F:F,credito!D11,Dataset!AH:AH,"bono corporativo", Dataset!T:T,"uf")</f>
        <v>5.5686720552263784</v>
      </c>
      <c r="H24" s="58">
        <f>SUMIFS(Dataset!I:I,Dataset!F:F,credito!D11,Dataset!AH:AH,"bono corporativo", Dataset!T:T,"uf")</f>
        <v>2.0804614294934404E-3</v>
      </c>
      <c r="I24" s="58">
        <f>SUMIFS(Dataset!AA:AA,Dataset!F:F,credito!D11,Dataset!AH:AH,"bono corporativo", Dataset!T:T,"uf")</f>
        <v>0.87006096898844199</v>
      </c>
      <c r="K24" s="61">
        <v>7</v>
      </c>
      <c r="L24" s="58" t="str">
        <f>IFERROR(INDEX(Dataset!G:G,MATCH(_xlfn.AGGREGATE(14,6,Dataset!AK:AK/(Dataset!F:F=$D$11),K24),Dataset!AK:AK,0),1),"-")</f>
        <v>BTU0150321</v>
      </c>
      <c r="M24" s="58">
        <f>IFERROR(INDEX(Dataset!AK:AK,MATCH(_xlfn.AGGREGATE(14,6,Dataset!AK:AK/(Dataset!F:F=$D$11),K24),Dataset!AK:AK,0),1),"-")</f>
        <v>1.7745935478991646E-2</v>
      </c>
      <c r="N24" s="58">
        <f>IFERROR(INDEX(Dataset!AJ:AJ,MATCH(_xlfn.AGGREGATE(14,6,Dataset!AK:AK/(Dataset!F:F=$D$11),K24),Dataset!AK:AK,0),1),"-")</f>
        <v>1.7745935478991646E-2</v>
      </c>
      <c r="O24" s="58">
        <f>IFERROR(INDEX(Dataset!I:I,MATCH(_xlfn.AGGREGATE(14,6,Dataset!AK:AK/(Dataset!F:F=$D$11),K24),Dataset!AK:AK,0),1),"-")</f>
        <v>-5.1862045665522598E-5</v>
      </c>
      <c r="P24" s="58">
        <f>IFERROR(INDEX(Dataset!R:R,MATCH(_xlfn.AGGREGATE(14,6,Dataset!AK:AK/(Dataset!F:F=$D$11),K24),Dataset!AK:AK,0),1),"-")/100</f>
        <v>-2.9224745985873202E-5</v>
      </c>
      <c r="Q24" s="58">
        <f>IFERROR(INDEX(Dataset!AA:AA,MATCH(_xlfn.AGGREGATE(14,6,Dataset!AK:AK/(Dataset!F:F=$D$11),K24),Dataset!AK:AK,0),1),"-")</f>
        <v>-2.168900661448657E-2</v>
      </c>
      <c r="R24" s="60">
        <f>IFERROR(INDEX(Dataset!J:J,MATCH(_xlfn.AGGREGATE(14,6,Dataset!AK:AK/(Dataset!F:F=$D$11),K24),Dataset!AK:AK,0),1),"-")</f>
        <v>2.93</v>
      </c>
    </row>
    <row r="25" spans="3:26" ht="35.25" customHeight="1" x14ac:dyDescent="0.5">
      <c r="C25" s="57" t="s">
        <v>93</v>
      </c>
      <c r="D25" s="58">
        <f>SUMIFS(Dataset!AK:AK,Dataset!F:F,credito!D11,Dataset!AH:AH,"bono corporativo", Dataset!T:T,"us$")</f>
        <v>2.6625220097361988E-2</v>
      </c>
      <c r="E25" s="58">
        <f>SUMIFS(Dataset!AJ:AJ,Dataset!F:F,credito!D11,Dataset!AH:AH,"bono corporativo", Dataset!T:T,"us$")</f>
        <v>2.6625220097361988E-2</v>
      </c>
      <c r="F25" s="59">
        <f>SUMIFS(Dataset!V:V,Dataset!F:F,credito!D11,Dataset!AH:AH,"bono corporativo", Dataset!T:T,"us$")/1000000</f>
        <v>3931.0212689999998</v>
      </c>
      <c r="G25" s="60">
        <f>SUMIFS(Dataset!H:H,Dataset!F:F,credito!D11,Dataset!AH:AH,"bono corporativo", Dataset!T:T,"us$")</f>
        <v>0.12320961213794668</v>
      </c>
      <c r="H25" s="58">
        <f>SUMIFS(Dataset!I:I,Dataset!F:F,credito!D11,Dataset!AH:AH,"bono corporativo", Dataset!T:T,"us$")</f>
        <v>7.0404286685137409E-4</v>
      </c>
      <c r="I25" s="58">
        <f>SUMIFS(Dataset!AA:AA,Dataset!F:F,credito!D11,Dataset!AH:AH,"bono corporativo", Dataset!T:T,"us$")</f>
        <v>0.29443478752271596</v>
      </c>
      <c r="K25" s="61">
        <v>8</v>
      </c>
      <c r="L25" s="58" t="str">
        <f>IFERROR(INDEX(Dataset!G:G,MATCH(_xlfn.AGGREGATE(14,6,Dataset!AK:AK/(Dataset!F:F=$D$11),K25),Dataset!AK:AK,0),1),"-")</f>
        <v>BCGVI-B</v>
      </c>
      <c r="M25" s="58">
        <f>IFERROR(INDEX(Dataset!AK:AK,MATCH(_xlfn.AGGREGATE(14,6,Dataset!AK:AK/(Dataset!F:F=$D$11),K25),Dataset!AK:AK,0),1),"-")</f>
        <v>1.7127430194312055E-2</v>
      </c>
      <c r="N25" s="58">
        <f>IFERROR(INDEX(Dataset!AJ:AJ,MATCH(_xlfn.AGGREGATE(14,6,Dataset!AK:AK/(Dataset!F:F=$D$11),K25),Dataset!AK:AK,0),1),"-")</f>
        <v>1.7127430194312055E-2</v>
      </c>
      <c r="O25" s="58">
        <f>IFERROR(INDEX(Dataset!I:I,MATCH(_xlfn.AGGREGATE(14,6,Dataset!AK:AK/(Dataset!F:F=$D$11),K25),Dataset!AK:AK,0),1),"-")</f>
        <v>-5.0101056373307525E-6</v>
      </c>
      <c r="P25" s="58">
        <f>IFERROR(INDEX(Dataset!R:R,MATCH(_xlfn.AGGREGATE(14,6,Dataset!AK:AK/(Dataset!F:F=$D$11),K25),Dataset!AK:AK,0),1),"-")/100</f>
        <v>-2.9251940194709342E-6</v>
      </c>
      <c r="Q25" s="58">
        <f>IFERROR(INDEX(Dataset!AA:AA,MATCH(_xlfn.AGGREGATE(14,6,Dataset!AK:AK/(Dataset!F:F=$D$11),K25),Dataset!AK:AK,0),1),"-")</f>
        <v>-2.0952550735880843E-3</v>
      </c>
      <c r="R25" s="60">
        <f>IFERROR(INDEX(Dataset!J:J,MATCH(_xlfn.AGGREGATE(14,6,Dataset!AK:AK/(Dataset!F:F=$D$11),K25),Dataset!AK:AK,0),1),"-")</f>
        <v>6.74</v>
      </c>
    </row>
    <row r="26" spans="3:26" ht="35.25" customHeight="1" x14ac:dyDescent="0.5">
      <c r="C26" s="57" t="s">
        <v>61</v>
      </c>
      <c r="D26" s="58">
        <f>SUMIFS(Dataset!AK:AK,Dataset!F:F,credito!D11,Dataset!AH:AH,"factura")</f>
        <v>4.972273711051846E-3</v>
      </c>
      <c r="E26" s="58">
        <f>SUMIFS(Dataset!AJ:AJ,Dataset!F:F,credito!D11,Dataset!AH:AH,"factura")</f>
        <v>4.972273711051846E-3</v>
      </c>
      <c r="F26" s="59">
        <f>SUMIFS(Dataset!V:V,Dataset!F:F,credito!D11,Dataset!AH:AH,"factura")/1000000</f>
        <v>734.12026800000001</v>
      </c>
      <c r="G26" s="60">
        <f>SUMIFS(Dataset!H:H,Dataset!F:F,credito!D11,Dataset!AH:AH,"factura")</f>
        <v>1.1527017755019161E-3</v>
      </c>
      <c r="H26" s="58">
        <f>SUMIFS(Dataset!I:I,Dataset!F:F,credito!D11,Dataset!AH:AH,"factura")</f>
        <v>-1.202134317543299E-6</v>
      </c>
      <c r="I26" s="58">
        <f>SUMIFS(Dataset!AA:AA,Dataset!F:F,credito!D11,Dataset!AH:AH,"factura")</f>
        <v>-5.0273950497157235E-4</v>
      </c>
      <c r="K26" s="61">
        <v>9</v>
      </c>
      <c r="L26" s="58" t="str">
        <f>IFERROR(INDEX(Dataset!G:G,MATCH(_xlfn.AGGREGATE(14,6,Dataset!AK:AK/(Dataset!F:F=$D$11),K26),Dataset!AK:AK,0),1),"-")</f>
        <v>BRPLY-E</v>
      </c>
      <c r="M26" s="58">
        <f>IFERROR(INDEX(Dataset!AK:AK,MATCH(_xlfn.AGGREGATE(14,6,Dataset!AK:AK/(Dataset!F:F=$D$11),K26),Dataset!AK:AK,0),1),"-")</f>
        <v>1.7100978753593506E-2</v>
      </c>
      <c r="N26" s="58">
        <f>IFERROR(INDEX(Dataset!AJ:AJ,MATCH(_xlfn.AGGREGATE(14,6,Dataset!AK:AK/(Dataset!F:F=$D$11),K26),Dataset!AK:AK,0),1),"-")</f>
        <v>2.9643909455205064E-3</v>
      </c>
      <c r="O26" s="58">
        <f>IFERROR(INDEX(Dataset!I:I,MATCH(_xlfn.AGGREGATE(14,6,Dataset!AK:AK/(Dataset!F:F=$D$11),K26),Dataset!AK:AK,0),1),"-")</f>
        <v>-1.748890132350828E-6</v>
      </c>
      <c r="P26" s="58">
        <f>IFERROR(INDEX(Dataset!R:R,MATCH(_xlfn.AGGREGATE(14,6,Dataset!AK:AK/(Dataset!F:F=$D$11),K26),Dataset!AK:AK,0),1),"-")/100</f>
        <v>-5.8996608898484775E-6</v>
      </c>
      <c r="Q26" s="58">
        <f>IFERROR(INDEX(Dataset!AA:AA,MATCH(_xlfn.AGGREGATE(14,6,Dataset!AK:AK/(Dataset!F:F=$D$11),K26),Dataset!AK:AK,0),1),"-")</f>
        <v>-7.3139594016793734E-4</v>
      </c>
      <c r="R26" s="60">
        <f>IFERROR(INDEX(Dataset!J:J,MATCH(_xlfn.AGGREGATE(14,6,Dataset!AK:AK/(Dataset!F:F=$D$11),K26),Dataset!AK:AK,0),1),"-")</f>
        <v>6.02</v>
      </c>
    </row>
    <row r="27" spans="3:26" ht="35.25" customHeight="1" x14ac:dyDescent="0.5">
      <c r="C27" s="57" t="s">
        <v>95</v>
      </c>
      <c r="D27" s="58">
        <f>SUMIFS(Dataset!AK:AK,Dataset!F:F,credito!D11,Dataset!AH:AH,"fx forward", Dataset!T:T,"$")</f>
        <v>1.9343519144497202E-2</v>
      </c>
      <c r="E27" s="58">
        <f>SUMIFS(Dataset!AJ:AJ,Dataset!F:F,credito!D11,Dataset!AH:AH,"fx forward", Dataset!T:T,"$")</f>
        <v>1.9343519144497202E-2</v>
      </c>
      <c r="F27" s="59">
        <f>SUMIFS(Dataset!V:V,Dataset!F:F,credito!D11,Dataset!AH:AH,"fx forward", Dataset!T:T,"$")/1000000</f>
        <v>2855.9307640000002</v>
      </c>
      <c r="G27" s="60">
        <f>SUMIFS(Dataset!H:H,Dataset!F:F,credito!D11,Dataset!AH:AH,"fx forward", Dataset!T:T,"$")</f>
        <v>0</v>
      </c>
      <c r="H27" s="58">
        <f>SUMIFS(Dataset!I:I,Dataset!F:F,credito!D11,Dataset!AH:AH,"fx forward", Dataset!T:T,"$")</f>
        <v>0</v>
      </c>
      <c r="I27" s="58">
        <f>SUMIFS(Dataset!AA:AA,Dataset!F:F,credito!D11,Dataset!AH:AH,"fx forward", Dataset!T:T,"$")</f>
        <v>0</v>
      </c>
      <c r="K27" s="61">
        <v>10</v>
      </c>
      <c r="L27" s="58" t="str">
        <f>IFERROR(INDEX(Dataset!G:G,MATCH(_xlfn.AGGREGATE(14,6,Dataset!AK:AK/(Dataset!F:F=$D$11),K27),Dataset!AK:AK,0),1),"-")</f>
        <v>BWATT-L</v>
      </c>
      <c r="M27" s="58">
        <f>IFERROR(INDEX(Dataset!AK:AK,MATCH(_xlfn.AGGREGATE(14,6,Dataset!AK:AK/(Dataset!F:F=$D$11),K27),Dataset!AK:AK,0),1),"-")</f>
        <v>1.6551991793059741E-2</v>
      </c>
      <c r="N27" s="58">
        <f>IFERROR(INDEX(Dataset!AJ:AJ,MATCH(_xlfn.AGGREGATE(14,6,Dataset!AK:AK/(Dataset!F:F=$D$11),K27),Dataset!AK:AK,0),1),"-")</f>
        <v>1.6551991793059741E-2</v>
      </c>
      <c r="O27" s="58">
        <f>IFERROR(INDEX(Dataset!I:I,MATCH(_xlfn.AGGREGATE(14,6,Dataset!AK:AK/(Dataset!F:F=$D$11),K27),Dataset!AK:AK,0),1),"-")</f>
        <v>-8.7209742663852844E-5</v>
      </c>
      <c r="P27" s="58">
        <f>IFERROR(INDEX(Dataset!R:R,MATCH(_xlfn.AGGREGATE(14,6,Dataset!AK:AK/(Dataset!F:F=$D$11),K27),Dataset!AK:AK,0),1),"-")/100</f>
        <v>-5.268836751140726E-5</v>
      </c>
      <c r="Q27" s="58">
        <f>IFERROR(INDEX(Dataset!AA:AA,MATCH(_xlfn.AGGREGATE(14,6,Dataset!AK:AK/(Dataset!F:F=$D$11),K27),Dataset!AK:AK,0),1),"-")</f>
        <v>-3.6471617368950458E-2</v>
      </c>
      <c r="R27" s="60">
        <f>IFERROR(INDEX(Dataset!J:J,MATCH(_xlfn.AGGREGATE(14,6,Dataset!AK:AK/(Dataset!F:F=$D$11),K27),Dataset!AK:AK,0),1),"-")</f>
        <v>11.34</v>
      </c>
    </row>
    <row r="28" spans="3:26" ht="35.25" customHeight="1" x14ac:dyDescent="0.5">
      <c r="C28" s="57" t="s">
        <v>115</v>
      </c>
      <c r="D28" s="58">
        <f>SUMIFS(Dataset!AK:AK,Dataset!F:F,credito!D11,Dataset!AH:AH,"fx forward", Dataset!T:T,"UF")</f>
        <v>0</v>
      </c>
      <c r="E28" s="58">
        <f>SUMIFS(Dataset!AJ:AJ,Dataset!F:F,credito!D11,Dataset!AH:AH,"fx forward", Dataset!T:T,"UF")</f>
        <v>0</v>
      </c>
      <c r="F28" s="59">
        <f>SUMIFS(Dataset!V:V,Dataset!F:F,credito!D11,Dataset!AH:AH,"fx forward", Dataset!T:T,"UF")/1000000</f>
        <v>0</v>
      </c>
      <c r="G28" s="60">
        <f>SUMIFS(Dataset!H:H,Dataset!F:F,credito!D11,Dataset!AH:AH,"fx forward", Dataset!T:T,"UF")</f>
        <v>0</v>
      </c>
      <c r="H28" s="58">
        <f>SUMIFS(Dataset!I:I,Dataset!F:F,credito!D11,Dataset!AH:AH,"fx forward", Dataset!T:T,"UF")</f>
        <v>0</v>
      </c>
      <c r="I28" s="58">
        <f>SUMIFS(Dataset!AA:AA,Dataset!F:F,credito!D11,Dataset!AH:AH,"fx forward", Dataset!T:T,"UF")</f>
        <v>0</v>
      </c>
    </row>
    <row r="29" spans="3:26" ht="44.25" customHeight="1" x14ac:dyDescent="0.5">
      <c r="C29" s="57" t="s">
        <v>96</v>
      </c>
      <c r="D29" s="58">
        <f>SUMIFS(Dataset!AK:AK,Dataset!F:F,credito!D11,Dataset!AH:AH,"fx forward", Dataset!T:T,"us$")</f>
        <v>-1.6716674214448453E-2</v>
      </c>
      <c r="E29" s="58">
        <f>SUMIFS(Dataset!AJ:AJ,Dataset!F:F,credito!D11,Dataset!AH:AH,"fx forward", Dataset!T:T,"us$")</f>
        <v>-1.6716674214448453E-2</v>
      </c>
      <c r="F29" s="59">
        <f>SUMIFS(Dataset!V:V,Dataset!F:F,credito!D11,Dataset!AH:AH,"fx forward", Dataset!T:T,"us$")/1000000</f>
        <v>-2468.0961000000002</v>
      </c>
      <c r="G29" s="60">
        <f>SUMIFS(Dataset!H:H,Dataset!F:F,credito!D11,Dataset!AH:AH,"fx forward", Dataset!T:T,"us$")</f>
        <v>0</v>
      </c>
      <c r="H29" s="58">
        <f>SUMIFS(Dataset!I:I,Dataset!F:F,credito!D11,Dataset!AH:AH,"fx forward", Dataset!T:T,"us$")</f>
        <v>-4.4203410131910318E-4</v>
      </c>
      <c r="I29" s="58">
        <f>SUMIFS(Dataset!AA:AA,Dataset!F:F,credito!D11,Dataset!AH:AH,"fx forward", Dataset!T:T,"us$")</f>
        <v>-0.18486121062733535</v>
      </c>
      <c r="K29" s="176" t="s">
        <v>224</v>
      </c>
      <c r="L29" s="176"/>
      <c r="M29" s="176"/>
      <c r="N29" s="176"/>
      <c r="O29" s="176"/>
      <c r="P29" s="176"/>
      <c r="Q29" s="176"/>
      <c r="R29" s="176"/>
    </row>
    <row r="30" spans="3:26" ht="35.25" customHeight="1" x14ac:dyDescent="0.5">
      <c r="C30" s="57" t="s">
        <v>97</v>
      </c>
      <c r="D30" s="58">
        <f>SUMIFS(Dataset!AK:AK,Dataset!F:F,credito!D11,Dataset!AH:AH,"fx", Dataset!T:T,"$")</f>
        <v>0</v>
      </c>
      <c r="E30" s="58">
        <f>SUMIFS(Dataset!AJ:AJ,Dataset!F:F,credito!D11,Dataset!AH:AH,"fx", Dataset!T:T,"$")</f>
        <v>0</v>
      </c>
      <c r="F30" s="59">
        <f>SUMIFS(Dataset!V:V,Dataset!F:F,credito!D11,Dataset!AH:AH,"fx", Dataset!T:T,"$")/1000000</f>
        <v>0</v>
      </c>
      <c r="G30" s="60">
        <f>SUMIFS(Dataset!H:H,Dataset!F:F,credito!D11,Dataset!AH:AH,"fx", Dataset!T:T,"$")</f>
        <v>0</v>
      </c>
      <c r="H30" s="58">
        <f>SUMIFS(Dataset!I:I,Dataset!F:F,credito!D11,Dataset!AH:AH,"fx", Dataset!T:T,"$")</f>
        <v>0</v>
      </c>
      <c r="I30" s="58">
        <f>SUMIFS(Dataset!AA:AA,Dataset!F:F,credito!D11,Dataset!AH:AH,"fx", Dataset!T:T,"$")</f>
        <v>0</v>
      </c>
    </row>
    <row r="31" spans="3:26" ht="33" customHeight="1" x14ac:dyDescent="0.5">
      <c r="C31" s="57" t="s">
        <v>98</v>
      </c>
      <c r="D31" s="58">
        <f>SUMIFS(Dataset!AK:AK,Dataset!F:F,credito!D11,Dataset!AH:AH,"fx", Dataset!T:T,"us$")</f>
        <v>0</v>
      </c>
      <c r="E31" s="58">
        <f>SUMIFS(Dataset!AJ:AJ,Dataset!F:F,credito!D11,Dataset!AH:AH,"fx", Dataset!T:T,"us$")</f>
        <v>0</v>
      </c>
      <c r="F31" s="59">
        <f>SUMIFS(Dataset!V:V,Dataset!F:F,credito!D11,Dataset!AH:AH,"fx", Dataset!T:T,"us$")/1000000</f>
        <v>0</v>
      </c>
      <c r="G31" s="60">
        <f>SUMIFS(Dataset!H:H,Dataset!F:F,credito!D11,Dataset!AH:AH,"fx", Dataset!T:T,"us$")</f>
        <v>0</v>
      </c>
      <c r="H31" s="58">
        <f>SUMIFS(Dataset!I:I,Dataset!F:F,credito!D11,Dataset!AH:AH,"fx", Dataset!T:T,"us$")</f>
        <v>0</v>
      </c>
      <c r="I31" s="58">
        <f>SUMIFS(Dataset!AA:AA,Dataset!F:F,credito!D11,Dataset!AH:AH,"fx", Dataset!T:T,"us$")</f>
        <v>0</v>
      </c>
      <c r="K31" s="55" t="s">
        <v>81</v>
      </c>
      <c r="L31" s="55" t="s">
        <v>82</v>
      </c>
      <c r="M31" s="55" t="s">
        <v>66</v>
      </c>
      <c r="N31" s="55" t="s">
        <v>221</v>
      </c>
      <c r="O31" s="55" t="s">
        <v>6</v>
      </c>
      <c r="P31" s="55" t="s">
        <v>67</v>
      </c>
      <c r="Q31" s="55" t="s">
        <v>21</v>
      </c>
      <c r="R31" s="55" t="s">
        <v>68</v>
      </c>
    </row>
    <row r="32" spans="3:26" ht="48" customHeight="1" x14ac:dyDescent="0.5">
      <c r="C32" s="57" t="s">
        <v>208</v>
      </c>
      <c r="D32" s="58">
        <f>SUMIFS(Dataset!AK:AK,Dataset!F:F,credito!D11,Dataset!AH:AH,"Leverage")</f>
        <v>0</v>
      </c>
      <c r="E32" s="58">
        <f>SUMIFS(Dataset!AJ:AJ,Dataset!F:F,credito!D11,Dataset!AH:AH,"Leverage")</f>
        <v>0</v>
      </c>
      <c r="F32" s="59">
        <f>SUMIFS(Dataset!V:V,Dataset!F:F,credito!D11,Dataset!AH:AH,"Leverage")/1000000</f>
        <v>0</v>
      </c>
      <c r="G32" s="60">
        <f>SUMIFS(Dataset!H:H,Dataset!F:F,credito!D11,Dataset!AH:AH,"Leverage")</f>
        <v>0</v>
      </c>
      <c r="H32" s="58">
        <f>SUMIFS(Dataset!I:I,Dataset!F:F,credito!D11,Dataset!AH:AH,"Leverage")</f>
        <v>0</v>
      </c>
      <c r="I32" s="58">
        <f>SUMIFS(Dataset!AA:AA,Dataset!F:F,credito!D11,Dataset!AH:AH,"Leverage")</f>
        <v>0</v>
      </c>
      <c r="K32" s="61">
        <v>1</v>
      </c>
      <c r="L32" s="58" t="str">
        <f>IFERROR(INDEX(Dataset!G:G,MATCH(_xlfn.AGGREGATE(14,6,Dataset!I:I/(Dataset!F:F=$D$11),K32),Dataset!I:I,0),1),"-")</f>
        <v>GEOPAR0924</v>
      </c>
      <c r="M32" s="58">
        <f>IFERROR(INDEX(Dataset!AK:AK,MATCH(_xlfn.AGGREGATE(14,6,Dataset!I:I/(Dataset!F:F=$D$11),K32),Dataset!I:I,0),1),"-")</f>
        <v>1.1282838026485541E-2</v>
      </c>
      <c r="N32" s="58">
        <f>IFERROR(INDEX(Dataset!AJ:AJ,MATCH(_xlfn.AGGREGATE(14,6,Dataset!I:I/(Dataset!F:F=$D$11),K32),Dataset!I:I,0),1),"-")</f>
        <v>1.1282838026485541E-2</v>
      </c>
      <c r="O32" s="58">
        <f>IFERROR(INDEX(Dataset!I:I,MATCH(_xlfn.AGGREGATE(14,6,Dataset!I:I/(Dataset!F:F=$D$11),K32),Dataset!I:I,0),1),"-")</f>
        <v>2.9834876862383676E-4</v>
      </c>
      <c r="P32" s="58">
        <f>IFERROR(INDEX(Dataset!R:R,MATCH(_xlfn.AGGREGATE(14,6,Dataset!I:I/(Dataset!F:F=$D$11),K32),Dataset!I:I,0),1),"-")/100</f>
        <v>2.6442705986161227E-4</v>
      </c>
      <c r="Q32" s="58">
        <f>IFERROR(INDEX(Dataset!AA:AA,MATCH(_xlfn.AGGREGATE(14,6,Dataset!I:I/(Dataset!F:F=$D$11),K32),Dataset!I:I,0),1),"-")</f>
        <v>0.12477117578121498</v>
      </c>
      <c r="R32" s="60">
        <f>IFERROR(INDEX(Dataset!J:J,MATCH(_xlfn.AGGREGATE(14,6,Dataset!I:I/(Dataset!F:F=$D$11),K32),Dataset!I:I,0),1),"-")</f>
        <v>5.28</v>
      </c>
    </row>
    <row r="33" spans="3:35" ht="33" customHeight="1" x14ac:dyDescent="0.5">
      <c r="C33" s="57" t="s">
        <v>37</v>
      </c>
      <c r="D33" s="58">
        <f>SUMIFS(Dataset!AK:AK,Dataset!F:F,credito!D11,Dataset!AH:AH,"&lt;&gt;deposito",Dataset!AH:AH,"&lt;&gt;bono de gobierno",Dataset!AH:AH,"&lt;&gt;bono corporativo",Dataset!AH:AH,"&lt;&gt;factura",Dataset!AH:AH,"&lt;&gt;fx",Dataset!AH:AH,"&lt;&gt;fx forward",Dataset!AH:AH,"&lt;&gt;Leverage")</f>
        <v>1.0093576737098601E-2</v>
      </c>
      <c r="E33" s="58">
        <f>SUMIFS(Dataset!AJ:AJ,Dataset!F:F,credito!D11,Dataset!AH:AH,"&lt;&gt;deposito",Dataset!AH:AH,"&lt;&gt;bono de gobierno",Dataset!AH:AH,"&lt;&gt;bono corporativo",Dataset!AH:AH,"&lt;&gt;factura",Dataset!AH:AH,"&lt;&gt;fx",Dataset!AH:AH,"&lt;&gt;fx forward",Dataset!AH:AH,"&lt;&gt;Leverage")</f>
        <v>1.0093576737098601E-2</v>
      </c>
      <c r="F33" s="59">
        <f>SUMIFS(Dataset!V:V,Dataset!F:F,credito!D11,Dataset!AH:AH,"&lt;&gt;deposito",Dataset!AH:AH,"&lt;&gt;bono de gobierno",Dataset!AH:AH,"&lt;&gt;bono corporativo",Dataset!AH:AH,"&lt;&gt;factura",Dataset!AH:AH,"&lt;&gt;fx",Dataset!AH:AH,"&lt;&gt;fx forward",Dataset!AH:AH,"&lt;&gt;Leverage")/1000000</f>
        <v>1490.243637</v>
      </c>
      <c r="G33" s="60">
        <f>SUMIFS(Dataset!H:H,Dataset!F:F,credito!D11,Dataset!AH:AH,"&lt;&gt;deposito",Dataset!AH:AH,"&lt;&gt;bono de gobierno",Dataset!AH:AH,"&lt;&gt;bono corporativo",Dataset!AH:AH,"&lt;&gt;factura",Dataset!AH:AH,"&lt;&gt;fx",Dataset!AH:AH,"&lt;&gt;fx forward",Dataset!AH:AH,"&lt;&gt;Leverage")</f>
        <v>0</v>
      </c>
      <c r="H33" s="58">
        <f>SUMIFS(Dataset!I:I,Dataset!F:F,credito!D11,Dataset!AH:AH,"&lt;&gt;deposito",Dataset!AH:AH,"&lt;&gt;bono de gobierno",Dataset!AH:AH,"&lt;&gt;bono corporativo",Dataset!AH:AH,"&lt;&gt;factura",Dataset!AH:AH,"&lt;&gt;fx",Dataset!AH:AH,"&lt;&gt;fx forward",Dataset!AH:AH,"&lt;&gt;Leverage")</f>
        <v>0</v>
      </c>
      <c r="I33" s="58">
        <f>SUMIFS(Dataset!AA:AA,Dataset!F:F,credito!D11,Dataset!AH:AH,"&lt;&gt;deposito",Dataset!AH:AH,"&lt;&gt;bono de gobierno",Dataset!AH:AH,"&lt;&gt;bono corporativo",Dataset!AH:AH,"&lt;&gt;factura",Dataset!AH:AH,"&lt;&gt;fx",Dataset!AH:AH,"&lt;&gt;fx forward",Dataset!AH:AH,"&lt;&gt;Leverage")</f>
        <v>0</v>
      </c>
      <c r="K33" s="61">
        <v>2</v>
      </c>
      <c r="L33" s="58" t="str">
        <f>IFERROR(INDEX(Dataset!G:G,MATCH(_xlfn.AGGREGATE(14,6,Dataset!I:I/(Dataset!F:F=$D$11),K33),Dataset!I:I,0),1),"-")</f>
        <v>BCSMU-B</v>
      </c>
      <c r="M33" s="58">
        <f>IFERROR(INDEX(Dataset!AK:AK,MATCH(_xlfn.AGGREGATE(14,6,Dataset!I:I/(Dataset!F:F=$D$11),K33),Dataset!I:I,0),1),"-")</f>
        <v>0</v>
      </c>
      <c r="N33" s="58">
        <f>IFERROR(INDEX(Dataset!AJ:AJ,MATCH(_xlfn.AGGREGATE(14,6,Dataset!I:I/(Dataset!F:F=$D$11),K33),Dataset!I:I,0),1),"-")</f>
        <v>-1.6510370718428001E-2</v>
      </c>
      <c r="O33" s="58">
        <f>IFERROR(INDEX(Dataset!I:I,MATCH(_xlfn.AGGREGATE(14,6,Dataset!I:I/(Dataset!F:F=$D$11),K33),Dataset!I:I,0),1),"-")</f>
        <v>2.0232762919515E-4</v>
      </c>
      <c r="P33" s="58">
        <f>IFERROR(INDEX(Dataset!R:R,MATCH(_xlfn.AGGREGATE(14,6,Dataset!I:I/(Dataset!F:F=$D$11),K33),Dataset!I:I,0),1),"-")/100</f>
        <v>-1.2254578206976458E-4</v>
      </c>
      <c r="Q33" s="58">
        <f>IFERROR(INDEX(Dataset!AA:AA,MATCH(_xlfn.AGGREGATE(14,6,Dataset!I:I/(Dataset!F:F=$D$11),K33),Dataset!I:I,0),1),"-")</f>
        <v>8.4614581465001587E-2</v>
      </c>
      <c r="R33" s="60">
        <f>IFERROR(INDEX(Dataset!J:J,MATCH(_xlfn.AGGREGATE(14,6,Dataset!I:I/(Dataset!F:F=$D$11),K33),Dataset!I:I,0),1),"-")</f>
        <v>7.6042017854038999</v>
      </c>
    </row>
    <row r="34" spans="3:35" ht="42" customHeight="1" x14ac:dyDescent="0.5">
      <c r="C34" s="65" t="s">
        <v>62</v>
      </c>
      <c r="D34" s="66">
        <f t="shared" ref="D34:I34" si="0">SUM(D16:D33)</f>
        <v>1.0000000000000002</v>
      </c>
      <c r="E34" s="66">
        <f t="shared" si="0"/>
        <v>-2.3940069653126329E-2</v>
      </c>
      <c r="F34" s="67">
        <f t="shared" si="0"/>
        <v>147642.77082499999</v>
      </c>
      <c r="G34" s="68">
        <f t="shared" si="0"/>
        <v>6.1295892225810231</v>
      </c>
      <c r="H34" s="66">
        <f t="shared" si="0"/>
        <v>2.3911674050983412E-3</v>
      </c>
      <c r="I34" s="66">
        <f t="shared" si="0"/>
        <v>1.0000000000000004</v>
      </c>
      <c r="K34" s="61">
        <v>3</v>
      </c>
      <c r="L34" s="58" t="str">
        <f>IFERROR(INDEX(Dataset!G:G,MATCH(_xlfn.AGGREGATE(14,6,Dataset!I:I/(Dataset!F:F=$D$11),K34),Dataset!I:I,0),1),"-")</f>
        <v>FWDUSCL42718</v>
      </c>
      <c r="M34" s="58">
        <f>IFERROR(INDEX(Dataset!AK:AK,MATCH(_xlfn.AGGREGATE(14,6,Dataset!I:I/(Dataset!F:F=$D$11),K34),Dataset!I:I,0),1),"-")</f>
        <v>6.1009759906746185E-3</v>
      </c>
      <c r="N34" s="58">
        <f>IFERROR(INDEX(Dataset!AJ:AJ,MATCH(_xlfn.AGGREGATE(14,6,Dataset!I:I/(Dataset!F:F=$D$11),K34),Dataset!I:I,0),1),"-")</f>
        <v>6.1009759906746185E-3</v>
      </c>
      <c r="O34" s="58">
        <f>IFERROR(INDEX(Dataset!I:I,MATCH(_xlfn.AGGREGATE(14,6,Dataset!I:I/(Dataset!F:F=$D$11),K34),Dataset!I:I,0),1),"-")</f>
        <v>1.6132631435003767E-4</v>
      </c>
      <c r="P34" s="58">
        <f>IFERROR(INDEX(Dataset!R:R,MATCH(_xlfn.AGGREGATE(14,6,Dataset!I:I/(Dataset!F:F=$D$11),K34),Dataset!I:I,0),1),"-")/100</f>
        <v>2.6442705986161227E-4</v>
      </c>
      <c r="Q34" s="58">
        <f>IFERROR(INDEX(Dataset!AA:AA,MATCH(_xlfn.AGGREGATE(14,6,Dataset!I:I/(Dataset!F:F=$D$11),K34),Dataset!I:I,0),1),"-")</f>
        <v>6.7467595119465443E-2</v>
      </c>
      <c r="R34" s="60">
        <f>IFERROR(INDEX(Dataset!J:J,MATCH(_xlfn.AGGREGATE(14,6,Dataset!I:I/(Dataset!F:F=$D$11),K34),Dataset!I:I,0),1),"-")</f>
        <v>0</v>
      </c>
    </row>
    <row r="35" spans="3:35" ht="39" customHeight="1" x14ac:dyDescent="0.5">
      <c r="K35" s="61">
        <v>4</v>
      </c>
      <c r="L35" s="58" t="str">
        <f>IFERROR(INDEX(Dataset!G:G,MATCH(_xlfn.AGGREGATE(14,6,Dataset!I:I/(Dataset!F:F=$D$11),K35),Dataset!I:I,0),1),"-")</f>
        <v>ENJOY0522</v>
      </c>
      <c r="M35" s="58">
        <f>IFERROR(INDEX(Dataset!AK:AK,MATCH(_xlfn.AGGREGATE(14,6,Dataset!I:I/(Dataset!F:F=$D$11),K35),Dataset!I:I,0),1),"-")</f>
        <v>5.5622297821367106E-3</v>
      </c>
      <c r="N35" s="58">
        <f>IFERROR(INDEX(Dataset!AJ:AJ,MATCH(_xlfn.AGGREGATE(14,6,Dataset!I:I/(Dataset!F:F=$D$11),K35),Dataset!I:I,0),1),"-")</f>
        <v>5.5622297821367106E-3</v>
      </c>
      <c r="O35" s="58">
        <f>IFERROR(INDEX(Dataset!I:I,MATCH(_xlfn.AGGREGATE(14,6,Dataset!I:I/(Dataset!F:F=$D$11),K35),Dataset!I:I,0),1),"-")</f>
        <v>1.4708040675651067E-4</v>
      </c>
      <c r="P35" s="58">
        <f>IFERROR(INDEX(Dataset!R:R,MATCH(_xlfn.AGGREGATE(14,6,Dataset!I:I/(Dataset!F:F=$D$11),K35),Dataset!I:I,0),1),"-")/100</f>
        <v>2.6442705986161227E-4</v>
      </c>
      <c r="Q35" s="58">
        <f>IFERROR(INDEX(Dataset!AA:AA,MATCH(_xlfn.AGGREGATE(14,6,Dataset!I:I/(Dataset!F:F=$D$11),K35),Dataset!I:I,0),1),"-")</f>
        <v>6.1509874399806708E-2</v>
      </c>
      <c r="R35" s="60">
        <f>IFERROR(INDEX(Dataset!J:J,MATCH(_xlfn.AGGREGATE(14,6,Dataset!I:I/(Dataset!F:F=$D$11),K35),Dataset!I:I,0),1),"-")</f>
        <v>3.44</v>
      </c>
    </row>
    <row r="36" spans="3:35" ht="33" customHeight="1" x14ac:dyDescent="0.5">
      <c r="C36" s="176" t="s">
        <v>222</v>
      </c>
      <c r="D36" s="176"/>
      <c r="E36" s="176"/>
      <c r="F36" s="176"/>
      <c r="G36" s="176"/>
      <c r="H36" s="176"/>
      <c r="K36" s="61">
        <v>5</v>
      </c>
      <c r="L36" s="58" t="str">
        <f>IFERROR(INDEX(Dataset!G:G,MATCH(_xlfn.AGGREGATE(14,6,Dataset!I:I/(Dataset!F:F=$D$11),K36),Dataset!I:I,0),1),"-")</f>
        <v>BMOLY-C</v>
      </c>
      <c r="M36" s="58">
        <f>IFERROR(INDEX(Dataset!AK:AK,MATCH(_xlfn.AGGREGATE(14,6,Dataset!I:I/(Dataset!F:F=$D$11),K36),Dataset!I:I,0),1),"-")</f>
        <v>1.0446755986638738E-4</v>
      </c>
      <c r="N36" s="58">
        <f>IFERROR(INDEX(Dataset!AJ:AJ,MATCH(_xlfn.AGGREGATE(14,6,Dataset!I:I/(Dataset!F:F=$D$11),K36),Dataset!I:I,0),1),"-")</f>
        <v>-2.7848833834724612E-2</v>
      </c>
      <c r="O36" s="58">
        <f>IFERROR(INDEX(Dataset!I:I,MATCH(_xlfn.AGGREGATE(14,6,Dataset!I:I/(Dataset!F:F=$D$11),K36),Dataset!I:I,0),1),"-")</f>
        <v>1.4673095918480835E-4</v>
      </c>
      <c r="P36" s="58">
        <f>IFERROR(INDEX(Dataset!R:R,MATCH(_xlfn.AGGREGATE(14,6,Dataset!I:I/(Dataset!F:F=$D$11),K36),Dataset!I:I,0),1),"-")/100</f>
        <v>-5.268836751140726E-5</v>
      </c>
      <c r="Q36" s="58">
        <f>IFERROR(INDEX(Dataset!AA:AA,MATCH(_xlfn.AGGREGATE(14,6,Dataset!I:I/(Dataset!F:F=$D$11),K36),Dataset!I:I,0),1),"-")</f>
        <v>6.1363733409862953E-2</v>
      </c>
      <c r="R36" s="60">
        <f>IFERROR(INDEX(Dataset!J:J,MATCH(_xlfn.AGGREGATE(14,6,Dataset!I:I/(Dataset!F:F=$D$11),K36),Dataset!I:I,0),1),"-")</f>
        <v>8.48</v>
      </c>
    </row>
    <row r="37" spans="3:35" ht="33" customHeight="1" x14ac:dyDescent="0.5">
      <c r="K37" s="61">
        <v>6</v>
      </c>
      <c r="L37" s="58" t="str">
        <f>IFERROR(INDEX(Dataset!G:G,MATCH(_xlfn.AGGREGATE(14,6,Dataset!I:I/(Dataset!F:F=$D$11),K37),Dataset!I:I,0),1),"-")</f>
        <v>LBTYA 0124</v>
      </c>
      <c r="M37" s="58">
        <f>IFERROR(INDEX(Dataset!AK:AK,MATCH(_xlfn.AGGREGATE(14,6,Dataset!I:I/(Dataset!F:F=$D$11),K37),Dataset!I:I,0),1),"-")</f>
        <v>4.2605191604375321E-3</v>
      </c>
      <c r="N37" s="58">
        <f>IFERROR(INDEX(Dataset!AJ:AJ,MATCH(_xlfn.AGGREGATE(14,6,Dataset!I:I/(Dataset!F:F=$D$11),K37),Dataset!I:I,0),1),"-")</f>
        <v>4.2605191604375321E-3</v>
      </c>
      <c r="O37" s="58">
        <f>IFERROR(INDEX(Dataset!I:I,MATCH(_xlfn.AGGREGATE(14,6,Dataset!I:I/(Dataset!F:F=$D$11),K37),Dataset!I:I,0),1),"-")</f>
        <v>1.1265965550785615E-4</v>
      </c>
      <c r="P37" s="58">
        <f>IFERROR(INDEX(Dataset!R:R,MATCH(_xlfn.AGGREGATE(14,6,Dataset!I:I/(Dataset!F:F=$D$11),K37),Dataset!I:I,0),1),"-")/100</f>
        <v>2.6442705986161227E-4</v>
      </c>
      <c r="Q37" s="58">
        <f>IFERROR(INDEX(Dataset!AA:AA,MATCH(_xlfn.AGGREGATE(14,6,Dataset!I:I/(Dataset!F:F=$D$11),K37),Dataset!I:I,0),1),"-")</f>
        <v>4.7114917704067158E-2</v>
      </c>
      <c r="R37" s="60">
        <f>IFERROR(INDEX(Dataset!J:J,MATCH(_xlfn.AGGREGATE(14,6,Dataset!I:I/(Dataset!F:F=$D$11),K37),Dataset!I:I,0),1),"-")</f>
        <v>4.9000000000000004</v>
      </c>
    </row>
    <row r="38" spans="3:35" ht="33" customHeight="1" x14ac:dyDescent="0.5">
      <c r="C38" s="53" t="s">
        <v>106</v>
      </c>
      <c r="D38" s="54" t="s">
        <v>66</v>
      </c>
      <c r="E38" s="54" t="s">
        <v>221</v>
      </c>
      <c r="F38" s="54" t="s">
        <v>71</v>
      </c>
      <c r="G38" s="54" t="s">
        <v>6</v>
      </c>
      <c r="H38" s="54" t="s">
        <v>21</v>
      </c>
      <c r="J38" s="22" t="s">
        <v>133</v>
      </c>
      <c r="K38" s="61">
        <v>7</v>
      </c>
      <c r="L38" s="58" t="str">
        <f>IFERROR(INDEX(Dataset!G:G,MATCH(_xlfn.AGGREGATE(14,6,Dataset!I:I/(Dataset!F:F=$D$11),K38),Dataset!I:I,0),1),"-")</f>
        <v>BLATM-D</v>
      </c>
      <c r="M38" s="58">
        <f>IFERROR(INDEX(Dataset!AK:AK,MATCH(_xlfn.AGGREGATE(14,6,Dataset!I:I/(Dataset!F:F=$D$11),K38),Dataset!I:I,0),1),"-")</f>
        <v>0</v>
      </c>
      <c r="N38" s="58">
        <f>IFERROR(INDEX(Dataset!AJ:AJ,MATCH(_xlfn.AGGREGATE(14,6,Dataset!I:I/(Dataset!F:F=$D$11),K38),Dataset!I:I,0),1),"-")</f>
        <v>-8.9811318924528007E-3</v>
      </c>
      <c r="O38" s="58">
        <f>IFERROR(INDEX(Dataset!I:I,MATCH(_xlfn.AGGREGATE(14,6,Dataset!I:I/(Dataset!F:F=$D$11),K38),Dataset!I:I,0),1),"-")</f>
        <v>1.1005998316323332E-4</v>
      </c>
      <c r="P38" s="58">
        <f>IFERROR(INDEX(Dataset!R:R,MATCH(_xlfn.AGGREGATE(14,6,Dataset!I:I/(Dataset!F:F=$D$11),K38),Dataset!I:I,0),1),"-")/100</f>
        <v>-1.2254578206976458E-4</v>
      </c>
      <c r="Q38" s="58">
        <f>IFERROR(INDEX(Dataset!AA:AA,MATCH(_xlfn.AGGREGATE(14,6,Dataset!I:I/(Dataset!F:F=$D$11),K38),Dataset!I:I,0),1),"-")</f>
        <v>4.6027719735794455E-2</v>
      </c>
      <c r="R38" s="60">
        <f>IFERROR(INDEX(Dataset!J:J,MATCH(_xlfn.AGGREGATE(14,6,Dataset!I:I/(Dataset!F:F=$D$11),K38),Dataset!I:I,0),1),"-")</f>
        <v>7.7374232499301003</v>
      </c>
    </row>
    <row r="39" spans="3:35" ht="33" customHeight="1" x14ac:dyDescent="0.5">
      <c r="C39" s="57" t="s">
        <v>39</v>
      </c>
      <c r="D39" s="58">
        <f>SUMIFS(Dataset!AK:AK,Dataset!F:F,credito!$D$11,Dataset!T:T,$C39)</f>
        <v>0.14404270116420043</v>
      </c>
      <c r="E39" s="58">
        <f>SUMIFS(Dataset!AJ:AJ,Dataset!F:F,credito!$D$11,Dataset!T:T,$C39)</f>
        <v>0.11489041724335698</v>
      </c>
      <c r="F39" s="59">
        <f>SUMIFS(Dataset!V:V,Dataset!F:F,credito!$D$11,Dataset!T:T,$C39)/1000000</f>
        <v>21266.863517000002</v>
      </c>
      <c r="G39" s="58">
        <f>SUMIFS(Dataset!I:I,Dataset!F:F,credito!$D$11,Dataset!T:T,$C39)</f>
        <v>1.0684140631584825E-4</v>
      </c>
      <c r="H39" s="58">
        <f>SUMIFS(Dataset!AA:AA,Dataset!F:F,credito!$D$11,Dataset!T:T,$C39)</f>
        <v>4.4681692334901262E-2</v>
      </c>
      <c r="K39" s="61">
        <v>8</v>
      </c>
      <c r="L39" s="58" t="str">
        <f>IFERROR(INDEX(Dataset!G:G,MATCH(_xlfn.AGGREGATE(14,6,Dataset!I:I/(Dataset!F:F=$D$11),K39),Dataset!I:I,0),1),"-")</f>
        <v>UBBV-A1203</v>
      </c>
      <c r="M39" s="58">
        <f>IFERROR(INDEX(Dataset!AK:AK,MATCH(_xlfn.AGGREGATE(14,6,Dataset!I:I/(Dataset!F:F=$D$11),K39),Dataset!I:I,0),1),"-")</f>
        <v>0</v>
      </c>
      <c r="N39" s="58">
        <f>IFERROR(INDEX(Dataset!AJ:AJ,MATCH(_xlfn.AGGREGATE(14,6,Dataset!I:I/(Dataset!F:F=$D$11),K39),Dataset!I:I,0),1),"-")</f>
        <v>-2.4594848887146997E-2</v>
      </c>
      <c r="O39" s="58">
        <f>IFERROR(INDEX(Dataset!I:I,MATCH(_xlfn.AGGREGATE(14,6,Dataset!I:I/(Dataset!F:F=$D$11),K39),Dataset!I:I,0),1),"-")</f>
        <v>1.0973200178890815E-4</v>
      </c>
      <c r="P39" s="58">
        <f>IFERROR(INDEX(Dataset!R:R,MATCH(_xlfn.AGGREGATE(14,6,Dataset!I:I/(Dataset!F:F=$D$11),K39),Dataset!I:I,0),1),"-")/100</f>
        <v>-4.4615847120025567E-5</v>
      </c>
      <c r="Q39" s="58">
        <f>IFERROR(INDEX(Dataset!AA:AA,MATCH(_xlfn.AGGREGATE(14,6,Dataset!I:I/(Dataset!F:F=$D$11),K39),Dataset!I:I,0),1),"-")</f>
        <v>4.5890556033401281E-2</v>
      </c>
      <c r="R39" s="60">
        <f>IFERROR(INDEX(Dataset!J:J,MATCH(_xlfn.AGGREGATE(14,6,Dataset!I:I/(Dataset!F:F=$D$11),K39),Dataset!I:I,0),1),"-")</f>
        <v>4.4577266641433004</v>
      </c>
    </row>
    <row r="40" spans="3:35" ht="33" customHeight="1" x14ac:dyDescent="0.5">
      <c r="C40" s="57" t="s">
        <v>32</v>
      </c>
      <c r="D40" s="58">
        <f>SUMIFS(Dataset!AK:AK,Dataset!F:F,credito!$D$11,Dataset!T:T,$C40)</f>
        <v>0.84604875295288628</v>
      </c>
      <c r="E40" s="58">
        <f>SUMIFS(Dataset!AJ:AJ,Dataset!F:F,credito!$D$11,Dataset!T:T,$C40)</f>
        <v>-0.14873903277939685</v>
      </c>
      <c r="F40" s="59">
        <f>SUMIFS(Dataset!V:V,Dataset!F:F,credito!$D$11,Dataset!T:T,$C40)/1000000</f>
        <v>124912.982139</v>
      </c>
      <c r="G40" s="58">
        <f>SUMIFS(Dataset!I:I,Dataset!F:F,credito!$D$11,Dataset!T:T,$C40)</f>
        <v>2.0223172332502226E-3</v>
      </c>
      <c r="H40" s="58">
        <f>SUMIFS(Dataset!AA:AA,Dataset!F:F,credito!$D$11,Dataset!T:T,$C40)</f>
        <v>0.84574473076971834</v>
      </c>
      <c r="K40" s="61">
        <v>9</v>
      </c>
      <c r="L40" s="58" t="str">
        <f>IFERROR(INDEX(Dataset!G:G,MATCH(_xlfn.AGGREGATE(14,6,Dataset!I:I/(Dataset!F:F=$D$11),K40),Dataset!I:I,0),1),"-")</f>
        <v>FWDUSCL41118</v>
      </c>
      <c r="M40" s="58">
        <f>IFERROR(INDEX(Dataset!AK:AK,MATCH(_xlfn.AGGREGATE(14,6,Dataset!I:I/(Dataset!F:F=$D$11),K40),Dataset!I:I,0),1),"-")</f>
        <v>4.0673173271164121E-3</v>
      </c>
      <c r="N40" s="58">
        <f>IFERROR(INDEX(Dataset!AJ:AJ,MATCH(_xlfn.AGGREGATE(14,6,Dataset!I:I/(Dataset!F:F=$D$11),K40),Dataset!I:I,0),1),"-")</f>
        <v>4.0673173271164121E-3</v>
      </c>
      <c r="O40" s="58">
        <f>IFERROR(INDEX(Dataset!I:I,MATCH(_xlfn.AGGREGATE(14,6,Dataset!I:I/(Dataset!F:F=$D$11),K40),Dataset!I:I,0),1),"-")</f>
        <v>1.0755087623335844E-4</v>
      </c>
      <c r="P40" s="58">
        <f>IFERROR(INDEX(Dataset!R:R,MATCH(_xlfn.AGGREGATE(14,6,Dataset!I:I/(Dataset!F:F=$D$11),K40),Dataset!I:I,0),1),"-")/100</f>
        <v>2.6442705986161227E-4</v>
      </c>
      <c r="Q40" s="58">
        <f>IFERROR(INDEX(Dataset!AA:AA,MATCH(_xlfn.AGGREGATE(14,6,Dataset!I:I/(Dataset!F:F=$D$11),K40),Dataset!I:I,0),1),"-")</f>
        <v>4.4978396746310295E-2</v>
      </c>
      <c r="R40" s="60">
        <f>IFERROR(INDEX(Dataset!J:J,MATCH(_xlfn.AGGREGATE(14,6,Dataset!I:I/(Dataset!F:F=$D$11),K40),Dataset!I:I,0),1),"-")</f>
        <v>0</v>
      </c>
    </row>
    <row r="41" spans="3:35" ht="31.5" customHeight="1" x14ac:dyDescent="0.5">
      <c r="C41" s="57" t="s">
        <v>30</v>
      </c>
      <c r="D41" s="58">
        <f>SUMIFS(Dataset!AK:AK,Dataset!F:F,credito!$D$11,Dataset!T:T,$C41)</f>
        <v>9.9085458829135335E-3</v>
      </c>
      <c r="E41" s="58">
        <f>SUMIFS(Dataset!AJ:AJ,Dataset!F:F,credito!$D$11,Dataset!T:T,$C41)</f>
        <v>9.9085458829135335E-3</v>
      </c>
      <c r="F41" s="59">
        <f>SUMIFS(Dataset!V:V,Dataset!F:F,credito!$D$11,Dataset!T:T,$C41)/1000000</f>
        <v>1462.9251690000001</v>
      </c>
      <c r="G41" s="58">
        <f>SUMIFS(Dataset!I:I,Dataset!F:F,credito!$D$11,Dataset!T:T,$C41)</f>
        <v>2.6200876553227092E-4</v>
      </c>
      <c r="H41" s="58">
        <f>SUMIFS(Dataset!AA:AA,Dataset!F:F,credito!$D$11,Dataset!T:T,$C41)</f>
        <v>0.10957357689538066</v>
      </c>
      <c r="K41" s="61">
        <v>10</v>
      </c>
      <c r="L41" s="58" t="str">
        <f>IFERROR(INDEX(Dataset!G:G,MATCH(_xlfn.AGGREGATE(14,6,Dataset!I:I/(Dataset!F:F=$D$11),K41),Dataset!I:I,0),1),"-")</f>
        <v>BGENE-N</v>
      </c>
      <c r="M41" s="58">
        <f>IFERROR(INDEX(Dataset!AK:AK,MATCH(_xlfn.AGGREGATE(14,6,Dataset!I:I/(Dataset!F:F=$D$11),K41),Dataset!I:I,0),1),"-")</f>
        <v>0</v>
      </c>
      <c r="N41" s="58">
        <f>IFERROR(INDEX(Dataset!AJ:AJ,MATCH(_xlfn.AGGREGATE(14,6,Dataset!I:I/(Dataset!F:F=$D$11),K41),Dataset!I:I,0),1),"-")</f>
        <v>-2.3940069653123001E-2</v>
      </c>
      <c r="O41" s="58">
        <f>IFERROR(INDEX(Dataset!I:I,MATCH(_xlfn.AGGREGATE(14,6,Dataset!I:I/(Dataset!F:F=$D$11),K41),Dataset!I:I,0),1),"-")</f>
        <v>1.0681064876864994E-4</v>
      </c>
      <c r="P41" s="58">
        <f>IFERROR(INDEX(Dataset!R:R,MATCH(_xlfn.AGGREGATE(14,6,Dataset!I:I/(Dataset!F:F=$D$11),K41),Dataset!I:I,0),1),"-")/100</f>
        <v>-4.4615847120025567E-5</v>
      </c>
      <c r="Q41" s="58">
        <f>IFERROR(INDEX(Dataset!AA:AA,MATCH(_xlfn.AGGREGATE(14,6,Dataset!I:I/(Dataset!F:F=$D$11),K41),Dataset!I:I,0),1),"-")</f>
        <v>4.4668829351267099E-2</v>
      </c>
      <c r="R41" s="60">
        <f>IFERROR(INDEX(Dataset!J:J,MATCH(_xlfn.AGGREGATE(14,6,Dataset!I:I/(Dataset!F:F=$D$11),K41),Dataset!I:I,0),1),"-")</f>
        <v>4.8603195513242001</v>
      </c>
    </row>
    <row r="42" spans="3:35" ht="39" customHeight="1" x14ac:dyDescent="0.5">
      <c r="C42" s="57" t="s">
        <v>47</v>
      </c>
      <c r="D42" s="58">
        <f>SUMIFS(Dataset!AK:AK,Dataset!F:F,credito!$D$11,Dataset!T:T,$C42)</f>
        <v>0</v>
      </c>
      <c r="E42" s="58">
        <f>SUMIFS(Dataset!AJ:AJ,Dataset!F:F,credito!$D$11,Dataset!T:T,$C42)</f>
        <v>0</v>
      </c>
      <c r="F42" s="59">
        <f>SUMIFS(Dataset!V:V,Dataset!F:F,credito!$D$11,Dataset!T:T,$C42)/1000000</f>
        <v>0</v>
      </c>
      <c r="G42" s="58">
        <f>SUMIFS(Dataset!I:I,Dataset!F:F,credito!$D$11,Dataset!T:T,$C42)</f>
        <v>0</v>
      </c>
      <c r="H42" s="58">
        <f>SUMIFS(Dataset!AA:AA,Dataset!F:F,credito!$D$11,Dataset!T:T,$C42)</f>
        <v>0</v>
      </c>
      <c r="I42" s="52"/>
      <c r="J42" s="52"/>
      <c r="S42" s="52"/>
      <c r="T42" s="52"/>
      <c r="U42" s="52"/>
      <c r="V42" s="52"/>
      <c r="W42" s="52"/>
      <c r="X42" s="52"/>
      <c r="Y42" s="52"/>
    </row>
    <row r="43" spans="3:35" ht="39" customHeight="1" x14ac:dyDescent="0.5">
      <c r="C43" s="57" t="s">
        <v>141</v>
      </c>
      <c r="D43" s="58">
        <f>SUMIFS(Dataset!AK:AK,Dataset!F:F,credito!$D$11,Dataset!T:T,$C43)</f>
        <v>0</v>
      </c>
      <c r="E43" s="58">
        <f>SUMIFS(Dataset!AJ:AJ,Dataset!F:F,credito!$D$11,Dataset!T:T,$C43)</f>
        <v>0</v>
      </c>
      <c r="F43" s="59">
        <f>SUMIFS(Dataset!V:V,Dataset!F:F,credito!$D$11,Dataset!T:T,$C43)/1000000</f>
        <v>0</v>
      </c>
      <c r="G43" s="58">
        <f>SUMIFS(Dataset!I:I,Dataset!F:F,credito!$D$11,Dataset!T:T,$C43)</f>
        <v>0</v>
      </c>
      <c r="H43" s="58">
        <f>SUMIFS(Dataset!AA:AA,Dataset!F:F,credito!$D$11,Dataset!T:T,$C43)</f>
        <v>0</v>
      </c>
      <c r="I43" s="52"/>
      <c r="J43" s="52"/>
      <c r="S43" s="52"/>
      <c r="T43" s="52"/>
      <c r="U43" s="52"/>
      <c r="V43" s="52"/>
      <c r="W43" s="52"/>
      <c r="X43" s="52"/>
      <c r="Y43" s="52"/>
    </row>
    <row r="44" spans="3:35" ht="39" customHeight="1" x14ac:dyDescent="0.5">
      <c r="C44" s="57" t="s">
        <v>208</v>
      </c>
      <c r="D44" s="58">
        <f>SUMIFS(Dataset!AK:AK,Dataset!F:F,credito!$D$11,Dataset!T:T,$C44)</f>
        <v>0</v>
      </c>
      <c r="E44" s="58">
        <f>SUMIFS(Dataset!AJ:AJ,Dataset!F:F,credito!$D$11,Dataset!T:T,$C44)</f>
        <v>0</v>
      </c>
      <c r="F44" s="59">
        <f>SUMIFS(Dataset!V:V,Dataset!F:F,credito!$D$11,Dataset!T:T,$C44)/1000000</f>
        <v>0</v>
      </c>
      <c r="G44" s="58">
        <f>SUMIFS(Dataset!I:I,Dataset!F:F,credito!$D$11,Dataset!T:T,$C44)</f>
        <v>0</v>
      </c>
      <c r="H44" s="58">
        <f>SUMIFS(Dataset!AA:AA,Dataset!F:F,credito!$D$11,Dataset!T:T,$C44)</f>
        <v>0</v>
      </c>
      <c r="I44" s="52"/>
      <c r="J44" s="52"/>
      <c r="S44" s="52"/>
      <c r="T44" s="52"/>
      <c r="U44" s="52"/>
      <c r="V44" s="52"/>
      <c r="W44" s="52"/>
      <c r="X44" s="52"/>
      <c r="Y44" s="52"/>
    </row>
    <row r="45" spans="3:35" ht="39" customHeight="1" x14ac:dyDescent="0.3">
      <c r="C45" s="65" t="s">
        <v>62</v>
      </c>
      <c r="D45" s="66">
        <f>SUM(D39:D44)</f>
        <v>1.0000000000000002</v>
      </c>
      <c r="E45" s="66">
        <f t="shared" ref="E45:H45" si="1">SUM(E39:E44)</f>
        <v>-2.3940069653126332E-2</v>
      </c>
      <c r="F45" s="67">
        <f t="shared" si="1"/>
        <v>147642.77082499999</v>
      </c>
      <c r="G45" s="66">
        <f t="shared" si="1"/>
        <v>2.3911674050983421E-3</v>
      </c>
      <c r="H45" s="66">
        <f t="shared" si="1"/>
        <v>1.0000000000000002</v>
      </c>
      <c r="I45" s="52"/>
      <c r="J45" s="52"/>
      <c r="S45" s="52"/>
      <c r="T45" s="52"/>
      <c r="U45" s="52"/>
      <c r="V45" s="52"/>
      <c r="W45" s="52"/>
      <c r="X45" s="52"/>
      <c r="Y45" s="52"/>
    </row>
    <row r="46" spans="3:35" ht="54" customHeight="1" x14ac:dyDescent="0.3">
      <c r="E46" s="176" t="s">
        <v>228</v>
      </c>
      <c r="F46" s="176"/>
      <c r="G46" s="176"/>
      <c r="H46" s="176"/>
      <c r="I46" s="176"/>
      <c r="J46" s="176"/>
      <c r="K46" s="176"/>
      <c r="L46" s="176"/>
      <c r="M46" s="176"/>
      <c r="N46" s="176"/>
      <c r="O46" s="182" t="s">
        <v>107</v>
      </c>
      <c r="P46" s="182"/>
      <c r="Q46" s="182"/>
      <c r="R46" s="182"/>
      <c r="S46" s="182"/>
      <c r="T46" s="182"/>
      <c r="U46" s="182"/>
      <c r="V46" s="182"/>
      <c r="X46" s="50"/>
      <c r="Y46" s="176" t="s">
        <v>232</v>
      </c>
      <c r="Z46" s="176"/>
      <c r="AA46" s="176"/>
      <c r="AB46" s="176"/>
      <c r="AC46" s="176"/>
      <c r="AD46" s="176"/>
      <c r="AE46" s="176"/>
      <c r="AF46" s="176"/>
      <c r="AG46" s="176"/>
      <c r="AH46" s="176"/>
    </row>
    <row r="47" spans="3:35" ht="15" customHeight="1" x14ac:dyDescent="0.3"/>
    <row r="48" spans="3:35" ht="27" customHeight="1" x14ac:dyDescent="0.3">
      <c r="C48" s="177" t="s">
        <v>68</v>
      </c>
      <c r="D48" s="177"/>
      <c r="E48" s="94" t="s">
        <v>72</v>
      </c>
      <c r="F48" s="94" t="s">
        <v>73</v>
      </c>
      <c r="G48" s="94" t="s">
        <v>74</v>
      </c>
      <c r="H48" s="94" t="s">
        <v>75</v>
      </c>
      <c r="I48" s="94" t="s">
        <v>90</v>
      </c>
      <c r="J48" s="94" t="s">
        <v>159</v>
      </c>
      <c r="K48" s="94" t="s">
        <v>76</v>
      </c>
      <c r="L48" s="94" t="s">
        <v>77</v>
      </c>
      <c r="M48" s="94" t="s">
        <v>78</v>
      </c>
      <c r="N48" s="94" t="s">
        <v>79</v>
      </c>
      <c r="O48" s="94"/>
      <c r="P48" s="94" t="s">
        <v>48</v>
      </c>
      <c r="Q48" s="94" t="s">
        <v>42</v>
      </c>
      <c r="R48" s="94" t="s">
        <v>36</v>
      </c>
      <c r="S48" s="94" t="s">
        <v>33</v>
      </c>
      <c r="T48" s="94" t="s">
        <v>34</v>
      </c>
      <c r="U48" s="94" t="s">
        <v>51</v>
      </c>
      <c r="V48" s="94" t="s">
        <v>50</v>
      </c>
      <c r="W48" s="94" t="s">
        <v>79</v>
      </c>
      <c r="X48" s="94"/>
      <c r="Y48" s="94" t="s">
        <v>72</v>
      </c>
      <c r="Z48" s="94" t="s">
        <v>73</v>
      </c>
      <c r="AA48" s="94" t="s">
        <v>74</v>
      </c>
      <c r="AB48" s="94" t="s">
        <v>75</v>
      </c>
      <c r="AC48" s="94" t="s">
        <v>90</v>
      </c>
      <c r="AD48" s="94" t="s">
        <v>159</v>
      </c>
      <c r="AE48" s="94" t="s">
        <v>76</v>
      </c>
      <c r="AF48" s="94" t="s">
        <v>77</v>
      </c>
      <c r="AG48" s="94" t="s">
        <v>78</v>
      </c>
      <c r="AH48" s="94" t="s">
        <v>79</v>
      </c>
      <c r="AI48" s="94"/>
    </row>
    <row r="49" spans="3:35" ht="38.25" customHeight="1" x14ac:dyDescent="0.3">
      <c r="C49" s="72">
        <v>0</v>
      </c>
      <c r="D49" s="73">
        <v>0.5</v>
      </c>
      <c r="E49" s="74">
        <f>SUMIFS(Dataset!AK:AK,Dataset!F:F,credito!$D$11,Dataset!AH:AH,"deposito",Dataset!T:T,"$",Dataset!J:J,"&lt;"&amp;$D49,Dataset!J:J,"&gt;="&amp;$C49)</f>
        <v>2.9136544823443441E-3</v>
      </c>
      <c r="F49" s="75">
        <f>SUMIFS(Dataset!AK:AK,Dataset!F:F,credito!$D$11,Dataset!AH:AH,"deposito",Dataset!T:T,"UF",Dataset!J:J,"&lt;"&amp;$D49,Dataset!J:J,"&gt;="&amp;$C49)</f>
        <v>0</v>
      </c>
      <c r="G49" s="75">
        <f>SUMIFS(Dataset!AK:AK,Dataset!F:F,credito!$D$11,Dataset!AH:AH,"bono de gobierno",Dataset!T:T,"$",Dataset!J:J,"&lt;"&amp;$D49,Dataset!J:J,"&gt;="&amp;$C49)</f>
        <v>0</v>
      </c>
      <c r="H49" s="75">
        <f>SUMIFS(Dataset!AK:AK,Dataset!F:F,credito!$D$11,Dataset!AH:AH,"bono de gobierno",Dataset!T:T,"UF",Dataset!J:J,"&lt;"&amp;$D49,Dataset!J:J,"&gt;="&amp;$C49)</f>
        <v>0</v>
      </c>
      <c r="I49" s="75">
        <f>SUMIFS(Dataset!AK:AK,Dataset!F:F,credito!$D$11,Dataset!AH:AH,"bono de gobierno",Dataset!T:T,"eu",Dataset!J:J,"&lt;"&amp;$D49,Dataset!J:J,"&gt;="&amp;$C49)</f>
        <v>0</v>
      </c>
      <c r="J49" s="75">
        <f>SUMIFS(Dataset!AK:AK,Dataset!F:F,credito!$D$11,Dataset!AH:AH,"bono de gobierno",Dataset!T:T,"mx",Dataset!J:J,"&lt;"&amp;$D49,Dataset!J:J,"&gt;="&amp;$C49)</f>
        <v>0</v>
      </c>
      <c r="K49" s="75">
        <f>SUMIFS(Dataset!AK:AK,Dataset!F:F,credito!$D$11,Dataset!AH:AH,"bono corporativo",Dataset!T:T,"$",Dataset!J:J,"&lt;"&amp;$D49,Dataset!J:J,"&gt;="&amp;$C49)</f>
        <v>2.1707973794388453E-4</v>
      </c>
      <c r="L49" s="75">
        <f>SUMIFS(Dataset!AK:AK,Dataset!F:F,credito!$D$11,Dataset!AH:AH,"bono corporativo",Dataset!T:T,"UF",Dataset!J:J,"&lt;"&amp;$D49,Dataset!J:J,"&gt;="&amp;$C49)</f>
        <v>1.9301042333983846E-3</v>
      </c>
      <c r="M49" s="75">
        <f>SUMIFS(Dataset!AK:AK,Dataset!F:F,credito!$D$11,Dataset!AH:AH,"bono corporativo",Dataset!T:T,"US$",Dataset!J:J,"&lt;"&amp;$D49,Dataset!J:J,"&gt;="&amp;$C49)</f>
        <v>0</v>
      </c>
      <c r="N49" s="75">
        <f>SUMIFS(Dataset!AK:AK,Dataset!F:F,credito!$D$11,Dataset!J:J,"&lt;"&amp;$D49,Dataset!J:J,"&gt;="&amp;$C49,Dataset!AH:AH,"&lt;&gt;bono corporativo",Dataset!AH:AH,"&lt;&gt;bono de gobierno",Dataset!AH:AH,"&lt;&gt;deposito")</f>
        <v>1.7692695378199196E-2</v>
      </c>
      <c r="O49" s="84">
        <f t="shared" ref="O49:O65" si="2">SUM(E49:N49)</f>
        <v>2.275353383188581E-2</v>
      </c>
      <c r="P49" s="74">
        <f>SUMIFS(Dataset!$AK:$AK,Dataset!$F:$F,credito!$D$11,Dataset!$AC:$AC,P$48,Dataset!$J:$J,"&lt;"&amp;$D49,Dataset!J:J,"&gt;="&amp;$C49)</f>
        <v>2.9136544823443441E-3</v>
      </c>
      <c r="Q49" s="75">
        <f>SUMIFS(Dataset!$AK:$AK,Dataset!$F:$F,credito!$D$11,Dataset!$AC:$AC,Q$48,Dataset!$J:$J,"&lt;"&amp;$D49,Dataset!J:J,"&gt;="&amp;$C49)</f>
        <v>0</v>
      </c>
      <c r="R49" s="75">
        <f>SUMIFS(Dataset!$AK:$AK,Dataset!$F:$F,credito!$D$11,Dataset!$AC:$AC,R$48,Dataset!$J:$J,"&lt;"&amp;$D49,Dataset!J:J,"&gt;="&amp;$C49)</f>
        <v>0</v>
      </c>
      <c r="S49" s="75">
        <f>SUMIFS(Dataset!$AK:$AK,Dataset!$F:$F,credito!$D$11,Dataset!$AC:$AC,S$48,Dataset!$J:$J,"&lt;"&amp;$D49,Dataset!J:J,"&gt;="&amp;$C49)</f>
        <v>0</v>
      </c>
      <c r="T49" s="75">
        <f>SUMIFS(Dataset!$AK:$AK,Dataset!$F:$F,credito!$D$11,Dataset!$AC:$AC,T$48,Dataset!$J:$J,"&lt;"&amp;$D49,Dataset!J:J,"&gt;="&amp;$C49)</f>
        <v>1.853482012501373E-4</v>
      </c>
      <c r="U49" s="75">
        <f>SUMIFS(Dataset!$AK:$AK,Dataset!$F:$F,credito!$D$11,Dataset!$AC:$AC,"A",Dataset!$J:$J,"&lt;"&amp;$D49,Dataset!$J:$J,"&gt;="&amp;$C49)+SUMIFS(Dataset!$AK:$AK,Dataset!$F:$F,credito!$D$11,Dataset!$AC:$AC,"A-",Dataset!$J:$J,"&lt;"&amp;$D49,Dataset!$J:$J,"&gt;="&amp;$C49)+SUMIFS(Dataset!$AK:$AK,Dataset!$F:$F,credito!$D$11,Dataset!$AC:$AC,"A+",Dataset!$J:$J,"&lt;"&amp;$D49,Dataset!$J:$J,"&gt;="&amp;$C49)</f>
        <v>1.9618357700921319E-3</v>
      </c>
      <c r="V49" s="75">
        <f>SUMIFS(Dataset!$AK:$AK,Dataset!$F:$F,credito!$D$11,Dataset!$AC:$AC,"BBB",Dataset!$J:$J,"&lt;"&amp;$D49,Dataset!$J:$J,"&gt;="&amp;$C49)+SUMIFS(Dataset!$AK:$AK,Dataset!$F:$F,credito!$D$11,Dataset!$AC:$AC,"BBB-",Dataset!$J:$J,"&lt;"&amp;$D49,Dataset!$J:$J,"&gt;="&amp;$C49)+SUMIFS(Dataset!$AK:$AK,Dataset!$F:$F,credito!$D$11,Dataset!$AC:$AC,"BBB+",Dataset!$J:$J,"&lt;"&amp;$D49,Dataset!$J:$J,"&gt;="&amp;$C49)</f>
        <v>0</v>
      </c>
      <c r="W49" s="75">
        <f>SUMIFS(Dataset!$AK:$AK,Dataset!$F:$F,credito!$D$11,Dataset!$J:$J,"&lt;"&amp;$D49,Dataset!$J:$J,"&gt;="&amp;$C49,Dataset!$AC:$AC,"&lt;&gt;N-1+",Dataset!$AC:$AC,"&lt;&gt;*AA*",Dataset!$AC:$AC,"&lt;&gt;*AAA*",Dataset!$AC:$AC,"&lt;&gt;A",Dataset!$AC:$AC,"&lt;&gt;A-",Dataset!$AC:$AC,"&lt;&gt;A+",Dataset!$AC:$AC,"&lt;&gt;*BBB*")</f>
        <v>1.7692695378199196E-2</v>
      </c>
      <c r="X49" s="84">
        <f t="shared" ref="X49:X65" si="3">SUM(P49:W49)</f>
        <v>2.275353383188581E-2</v>
      </c>
      <c r="Y49" s="77">
        <f>10*SUMIFS(Dataset!$H:$H,Dataset!$F:$F,credito!$D$11,Dataset!AH:AH,"deposito",Dataset!T:T,"$",Dataset!$J:$J,"&lt;"&amp;$D49,Dataset!J:J,"&gt;="&amp;$C49)</f>
        <v>1.1781617477646658E-2</v>
      </c>
      <c r="Z49" s="78">
        <f>10*SUMIFS(Dataset!$H:$H,Dataset!$F:$F,credito!$D$11,Dataset!AH:AH,"deposito",Dataset!T:T,"UF",Dataset!$J:$J,"&lt;"&amp;$D49,Dataset!J:J,"&gt;="&amp;$C49)</f>
        <v>0</v>
      </c>
      <c r="AA49" s="78">
        <f>10*SUMIFS(Dataset!$H:$H,Dataset!$F:$F,credito!$D$11,Dataset!AH:AH,"bono de gobierno",Dataset!T:T,"$",Dataset!$J:$J,"&lt;"&amp;$D49,Dataset!J:J,"&gt;="&amp;$C49)</f>
        <v>0</v>
      </c>
      <c r="AB49" s="78">
        <f>10*SUMIFS(Dataset!$H:$H,Dataset!$F:$F,credito!$D$11,Dataset!AH:AH,"bono de gobierno",Dataset!T:T,"uf",Dataset!$J:$J,"&lt;"&amp;$D49,Dataset!J:J,"&gt;="&amp;$C49)</f>
        <v>0</v>
      </c>
      <c r="AC49" s="78">
        <f>10*SUMIFS(Dataset!$H:$H,Dataset!$F:$F,credito!$D$11,Dataset!AH:AH,"bono de gobierno",Dataset!T:T,"eu",Dataset!$J:$J,"&lt;"&amp;$D49,Dataset!J:J,"&gt;="&amp;$C49)</f>
        <v>0</v>
      </c>
      <c r="AD49" s="78">
        <f>10*SUMIFS(Dataset!$H:$H,Dataset!$F:$F,credito!$D$11,Dataset!AH:AH,"bono de gobierno",Dataset!T:T,"mx",Dataset!$J:$J,"&lt;"&amp;$D49,Dataset!J:J,"&gt;="&amp;$C49)</f>
        <v>0</v>
      </c>
      <c r="AE49" s="78">
        <f>10*SUMIFS(Dataset!$H:$H,Dataset!$F:$F,credito!$D$11,Dataset!AH:AH,"bono corporativo",Dataset!T:T,"$",Dataset!$J:$J,"&lt;"&amp;$D49,Dataset!J:J,"&gt;="&amp;$C49)</f>
        <v>1.5195581656071919E-4</v>
      </c>
      <c r="AF49" s="78">
        <f>10*SUMIFS(Dataset!$H:$H,Dataset!$F:$F,credito!$D$11,Dataset!AH:AH,"bono corporativo",Dataset!T:T,"uf",Dataset!$J:$J,"&lt;"&amp;$D49,Dataset!J:J,"&gt;="&amp;$C49)</f>
        <v>7.2697050136792578E-3</v>
      </c>
      <c r="AG49" s="78">
        <f>10*SUMIFS(Dataset!$H:$H,Dataset!$F:$F,credito!$D$11,Dataset!AH:AH,"bono corporativo",Dataset!T:T,"us$",Dataset!$J:$J,"&lt;"&amp;$D49,Dataset!J:J,"&gt;="&amp;$C49)</f>
        <v>0</v>
      </c>
      <c r="AH49" s="78">
        <f>10*SUMIFS(Dataset!H:H,Dataset!F:F,credito!$D$11,Dataset!J:J,"&lt;"&amp;$D72,Dataset!J:J,"&gt;="&amp;$C72,Dataset!AH:AH,"&lt;&gt;bono corporativo",Dataset!AH:AH,"&lt;&gt;bono de gobierno",Dataset!AH:AH,"&lt;&gt;deposito")</f>
        <v>1.1527017755019161E-2</v>
      </c>
      <c r="AI49" s="87">
        <f t="shared" ref="AI49:AI65" si="4">SUM(Y49:AH49)</f>
        <v>3.0730296062905796E-2</v>
      </c>
    </row>
    <row r="50" spans="3:35" ht="27" customHeight="1" x14ac:dyDescent="0.3">
      <c r="C50" s="61">
        <v>0.5</v>
      </c>
      <c r="D50" s="81">
        <v>1.5</v>
      </c>
      <c r="E50" s="82">
        <f>SUMIFS(Dataset!AK:AK,Dataset!F:F,credito!$D$11,Dataset!AH:AH,"deposito",Dataset!T:T,"$",Dataset!J:J,"&lt;"&amp;$D50,Dataset!J:J,"&gt;="&amp;$C50)</f>
        <v>3.3214333506464116E-3</v>
      </c>
      <c r="F50" s="83">
        <f>SUMIFS(Dataset!AK:AK,Dataset!F:F,credito!$D$11,Dataset!AH:AH,"deposito",Dataset!T:T,"UF",Dataset!J:J,"&lt;"&amp;$D50,Dataset!J:J,"&gt;="&amp;$C50)</f>
        <v>0</v>
      </c>
      <c r="G50" s="83">
        <f>SUMIFS(Dataset!AK:AK,Dataset!F:F,credito!$D$11,Dataset!AH:AH,"bono de gobierno",Dataset!T:T,"$",Dataset!J:J,"&lt;"&amp;$D50,Dataset!J:J,"&gt;="&amp;$C50)</f>
        <v>0</v>
      </c>
      <c r="H50" s="83">
        <f>SUMIFS(Dataset!AK:AK,Dataset!F:F,credito!$D$11,Dataset!AH:AH,"bono de gobierno",Dataset!T:T,"UF",Dataset!J:J,"&lt;"&amp;$D50,Dataset!J:J,"&gt;="&amp;$C50)</f>
        <v>0</v>
      </c>
      <c r="I50" s="83">
        <f>SUMIFS(Dataset!AK:AK,Dataset!F:F,credito!$D$11,Dataset!AH:AH,"bono de gobierno",Dataset!T:T,"eu",Dataset!J:J,"&lt;"&amp;$D50,Dataset!J:J,"&gt;="&amp;$C50)</f>
        <v>0</v>
      </c>
      <c r="J50" s="83">
        <f>SUMIFS(Dataset!AK:AK,Dataset!F:F,credito!$D$11,Dataset!AH:AH,"bono de gobierno",Dataset!T:T,"mx",Dataset!J:J,"&lt;"&amp;$D50,Dataset!J:J,"&gt;="&amp;$C50)</f>
        <v>0</v>
      </c>
      <c r="K50" s="83">
        <f>SUMIFS(Dataset!AK:AK,Dataset!F:F,credito!$D$11,Dataset!AH:AH,"bono corporativo",Dataset!T:T,"$",Dataset!J:J,"&lt;"&amp;$D50,Dataset!J:J,"&gt;="&amp;$C50)</f>
        <v>3.473247540225443E-2</v>
      </c>
      <c r="L50" s="83">
        <f>SUMIFS(Dataset!AK:AK,Dataset!F:F,credito!$D$11,Dataset!AH:AH,"bono corporativo",Dataset!T:T,"UF",Dataset!J:J,"&lt;"&amp;$D50,Dataset!J:J,"&gt;="&amp;$C50)</f>
        <v>2.2559135644696405E-2</v>
      </c>
      <c r="M50" s="83">
        <f>SUMIFS(Dataset!AK:AK,Dataset!F:F,credito!$D$11,Dataset!AH:AH,"bono corporativo",Dataset!T:T,"US$",Dataset!J:J,"&lt;"&amp;$D50,Dataset!J:J,"&gt;="&amp;$C50)</f>
        <v>0</v>
      </c>
      <c r="N50" s="83">
        <f>SUMIFS(Dataset!AK:AK,Dataset!F:F,credito!$D$11,Dataset!J:J,"&lt;"&amp;$D50,Dataset!J:J,"&gt;="&amp;$C50,Dataset!AH:AH,"&lt;&gt;bono corporativo",Dataset!AH:AH,"&lt;&gt;bono de gobierno",Dataset!AH:AH,"&lt;&gt;deposito")</f>
        <v>0</v>
      </c>
      <c r="O50" s="84">
        <f t="shared" si="2"/>
        <v>6.0613044397597252E-2</v>
      </c>
      <c r="P50" s="82">
        <f>SUMIFS(Dataset!$AK:$AK,Dataset!$F:$F,credito!$D$11,Dataset!$AC:$AC,P$48,Dataset!$J:$J,"&lt;"&amp;$D50,Dataset!J:J,"&gt;="&amp;$C50)</f>
        <v>3.3214333506464116E-3</v>
      </c>
      <c r="Q50" s="83">
        <f>SUMIFS(Dataset!$AK:$AK,Dataset!$F:$F,credito!$D$11,Dataset!$AC:$AC,Q$48,Dataset!$J:$J,"&lt;"&amp;$D50,Dataset!J:J,"&gt;="&amp;$C50)</f>
        <v>1.3908330482594084E-3</v>
      </c>
      <c r="R50" s="83">
        <f>SUMIFS(Dataset!$AK:$AK,Dataset!$F:$F,credito!$D$11,Dataset!$AC:$AC,R$48,Dataset!$J:$J,"&lt;"&amp;$D50,Dataset!J:J,"&gt;="&amp;$C50)</f>
        <v>0</v>
      </c>
      <c r="S50" s="83">
        <f>SUMIFS(Dataset!$AK:$AK,Dataset!$F:$F,credito!$D$11,Dataset!$AC:$AC,S$48,Dataset!$J:$J,"&lt;"&amp;$D50,Dataset!J:J,"&gt;="&amp;$C50)</f>
        <v>1.8653647487179636E-2</v>
      </c>
      <c r="T50" s="83">
        <f>SUMIFS(Dataset!$AK:$AK,Dataset!$F:$F,credito!$D$11,Dataset!$AC:$AC,T$48,Dataset!$J:$J,"&lt;"&amp;$D50,Dataset!J:J,"&gt;="&amp;$C50)</f>
        <v>1.576425633300221E-2</v>
      </c>
      <c r="U50" s="83">
        <f>SUMIFS(Dataset!$AK:$AK,Dataset!$F:$F,credito!$D$11,Dataset!$AC:$AC,"A",Dataset!$J:$J,"&lt;"&amp;$D50,Dataset!$J:$J,"&gt;="&amp;$C50)+SUMIFS(Dataset!$AK:$AK,Dataset!$F:$F,credito!$D$11,Dataset!$AC:$AC,"A-",Dataset!$J:$J,"&lt;"&amp;$D50,Dataset!$J:$J,"&gt;="&amp;$C50)+SUMIFS(Dataset!$AK:$AK,Dataset!$F:$F,credito!$D$11,Dataset!$AC:$AC,"A+",Dataset!$J:$J,"&lt;"&amp;$D50,Dataset!$J:$J,"&gt;="&amp;$C50)</f>
        <v>7.89334794712933E-3</v>
      </c>
      <c r="V50" s="83">
        <f>SUMIFS(Dataset!$AK:$AK,Dataset!$F:$F,credito!$D$11,Dataset!$AC:$AC,"BBB",Dataset!$J:$J,"&lt;"&amp;$D50,Dataset!$J:$J,"&gt;="&amp;$C50)+SUMIFS(Dataset!$AK:$AK,Dataset!$F:$F,credito!$D$11,Dataset!$AC:$AC,"BBB-",Dataset!$J:$J,"&lt;"&amp;$D50,Dataset!$J:$J,"&gt;="&amp;$C50)+SUMIFS(Dataset!$AK:$AK,Dataset!$F:$F,credito!$D$11,Dataset!$AC:$AC,"BBB+",Dataset!$J:$J,"&lt;"&amp;$D50,Dataset!$J:$J,"&gt;="&amp;$C50)</f>
        <v>1.3589526231380249E-2</v>
      </c>
      <c r="W50" s="83">
        <f>SUMIFS(Dataset!$AK:$AK,Dataset!$F:$F,credito!$D$11,Dataset!$J:$J,"&lt;"&amp;$D50,Dataset!$J:$J,"&gt;="&amp;$C50,Dataset!$AC:$AC,"&lt;&gt;N-1+",Dataset!$AC:$AC,"&lt;&gt;*AA*",Dataset!$AC:$AC,"&lt;&gt;*AAA*",Dataset!$AC:$AC,"&lt;&gt;A",Dataset!$AC:$AC,"&lt;&gt;A-",Dataset!$AC:$AC,"&lt;&gt;A+",Dataset!$AC:$AC,"&lt;&gt;*BBB*")</f>
        <v>0</v>
      </c>
      <c r="X50" s="84">
        <f t="shared" si="3"/>
        <v>6.0613044397597252E-2</v>
      </c>
      <c r="Y50" s="85">
        <f>10*SUMIFS(Dataset!$H:$H,Dataset!$F:$F,credito!$D$11,Dataset!AH:AH,"deposito",Dataset!T:T,"$",Dataset!$J:$J,"&lt;"&amp;$D50,Dataset!J:J,"&gt;="&amp;$C50)</f>
        <v>2.1979526281353912E-2</v>
      </c>
      <c r="Z50" s="86">
        <f>10*SUMIFS(Dataset!$H:$H,Dataset!$F:$F,credito!$D$11,Dataset!AH:AH,"deposito",Dataset!T:T,"UF",Dataset!$J:$J,"&lt;"&amp;$D50,Dataset!J:J,"&gt;="&amp;$C50)</f>
        <v>0</v>
      </c>
      <c r="AA50" s="86">
        <f>10*SUMIFS(Dataset!$H:$H,Dataset!$F:$F,credito!$D$11,Dataset!AH:AH,"bono de gobierno",Dataset!T:T,"$",Dataset!$J:$J,"&lt;"&amp;$D50,Dataset!J:J,"&gt;="&amp;$C50)</f>
        <v>0</v>
      </c>
      <c r="AB50" s="86">
        <f>10*SUMIFS(Dataset!$H:$H,Dataset!$F:$F,credito!$D$11,Dataset!AH:AH,"bono de gobierno",Dataset!T:T,"uf",Dataset!$J:$J,"&lt;"&amp;$D50,Dataset!J:J,"&gt;="&amp;$C50)</f>
        <v>0</v>
      </c>
      <c r="AC50" s="86">
        <f>10*SUMIFS(Dataset!$H:$H,Dataset!$F:$F,credito!$D$11,Dataset!AH:AH,"bono de gobierno",Dataset!T:T,"eu",Dataset!$J:$J,"&lt;"&amp;$D50,Dataset!J:J,"&gt;="&amp;$C50)</f>
        <v>0</v>
      </c>
      <c r="AD50" s="86">
        <f>10*SUMIFS(Dataset!$H:$H,Dataset!$F:$F,credito!$D$11,Dataset!AH:AH,"bono de gobierno",Dataset!T:T,"mx",Dataset!$J:$J,"&lt;"&amp;$D50,Dataset!J:J,"&gt;="&amp;$C50)</f>
        <v>0</v>
      </c>
      <c r="AE50" s="86">
        <f>10*SUMIFS(Dataset!$H:$H,Dataset!$F:$F,credito!$D$11,Dataset!AH:AH,"bono corporativo",Dataset!T:T,"$",Dataset!$J:$J,"&lt;"&amp;$D50,Dataset!J:J,"&gt;="&amp;$C50)</f>
        <v>0.38280588015170092</v>
      </c>
      <c r="AF50" s="86">
        <f>10*SUMIFS(Dataset!$H:$H,Dataset!$F:$F,credito!$D$11,Dataset!AH:AH,"bono corporativo",Dataset!T:T,"uf",Dataset!$J:$J,"&lt;"&amp;$D50,Dataset!J:J,"&gt;="&amp;$C50)</f>
        <v>0.26260328006953737</v>
      </c>
      <c r="AG50" s="86">
        <f>10*SUMIFS(Dataset!$H:$H,Dataset!$F:$F,credito!$D$11,Dataset!AH:AH,"bono corporativo",Dataset!T:T,"us$",Dataset!$J:$J,"&lt;"&amp;$D50,Dataset!J:J,"&gt;="&amp;$C50)</f>
        <v>0</v>
      </c>
      <c r="AH50" s="86">
        <f>10*SUMIFS(Dataset!H:H,Dataset!F:F,credito!$D$11,Dataset!J:J,"&lt;"&amp;$D73,Dataset!J:J,"&gt;="&amp;$C73,Dataset!AH:AH,"&lt;&gt;bono corporativo",Dataset!AH:AH,"&lt;&gt;bono de gobierno",Dataset!AH:AH,"&lt;&gt;deposito")</f>
        <v>0</v>
      </c>
      <c r="AI50" s="87">
        <f t="shared" si="4"/>
        <v>0.6673886865025922</v>
      </c>
    </row>
    <row r="51" spans="3:35" ht="33" customHeight="1" x14ac:dyDescent="0.3">
      <c r="C51" s="61">
        <v>1.5</v>
      </c>
      <c r="D51" s="81">
        <v>2.5</v>
      </c>
      <c r="E51" s="82">
        <f>SUMIFS(Dataset!AK:AK,Dataset!F:F,credito!$D$11,Dataset!AH:AH,"deposito",Dataset!T:T,"$",Dataset!J:J,"&lt;"&amp;$D51,Dataset!J:J,"&gt;="&amp;$C51)</f>
        <v>0</v>
      </c>
      <c r="F51" s="83">
        <f>SUMIFS(Dataset!AK:AK,Dataset!F:F,credito!$D$11,Dataset!AH:AH,"deposito",Dataset!T:T,"UF",Dataset!J:J,"&lt;"&amp;$D51,Dataset!J:J,"&gt;="&amp;$C51)</f>
        <v>0</v>
      </c>
      <c r="G51" s="83">
        <f>SUMIFS(Dataset!AK:AK,Dataset!F:F,credito!$D$11,Dataset!AH:AH,"bono de gobierno",Dataset!T:T,"$",Dataset!J:J,"&lt;"&amp;$D51,Dataset!J:J,"&gt;="&amp;$C51)</f>
        <v>0</v>
      </c>
      <c r="H51" s="83">
        <f>SUMIFS(Dataset!AK:AK,Dataset!F:F,credito!$D$11,Dataset!AH:AH,"bono de gobierno",Dataset!T:T,"UF",Dataset!J:J,"&lt;"&amp;$D51,Dataset!J:J,"&gt;="&amp;$C51)</f>
        <v>0</v>
      </c>
      <c r="I51" s="83">
        <f>SUMIFS(Dataset!AK:AK,Dataset!F:F,credito!$D$11,Dataset!AH:AH,"bono de gobierno",Dataset!T:T,"eu",Dataset!J:J,"&lt;"&amp;$D51,Dataset!J:J,"&gt;="&amp;$C51)</f>
        <v>0</v>
      </c>
      <c r="J51" s="83">
        <f>SUMIFS(Dataset!AK:AK,Dataset!F:F,credito!$D$11,Dataset!AH:AH,"bono de gobierno",Dataset!T:T,"mx",Dataset!J:J,"&lt;"&amp;$D51,Dataset!J:J,"&gt;="&amp;$C51)</f>
        <v>0</v>
      </c>
      <c r="K51" s="83">
        <f>SUMIFS(Dataset!AK:AK,Dataset!F:F,credito!$D$11,Dataset!AH:AH,"bono corporativo",Dataset!T:T,"$",Dataset!J:J,"&lt;"&amp;$D51,Dataset!J:J,"&gt;="&amp;$C51)</f>
        <v>1.6779559426830473E-2</v>
      </c>
      <c r="L51" s="83">
        <f>SUMIFS(Dataset!AK:AK,Dataset!F:F,credito!$D$11,Dataset!AH:AH,"bono corporativo",Dataset!T:T,"UF",Dataset!J:J,"&lt;"&amp;$D51,Dataset!J:J,"&gt;="&amp;$C51)</f>
        <v>4.4176305643375206E-2</v>
      </c>
      <c r="M51" s="83">
        <f>SUMIFS(Dataset!AK:AK,Dataset!F:F,credito!$D$11,Dataset!AH:AH,"bono corporativo",Dataset!T:T,"US$",Dataset!J:J,"&lt;"&amp;$D51,Dataset!J:J,"&gt;="&amp;$C51)</f>
        <v>2.1520621580355661E-3</v>
      </c>
      <c r="N51" s="83">
        <f>SUMIFS(Dataset!AK:AK,Dataset!F:F,credito!$D$11,Dataset!J:J,"&lt;"&amp;$D51,Dataset!J:J,"&gt;="&amp;$C51,Dataset!AH:AH,"&lt;&gt;bono corporativo",Dataset!AH:AH,"&lt;&gt;bono de gobierno",Dataset!AH:AH,"&lt;&gt;deposito")</f>
        <v>0</v>
      </c>
      <c r="O51" s="84">
        <f t="shared" si="2"/>
        <v>6.310792722824124E-2</v>
      </c>
      <c r="P51" s="82">
        <f>SUMIFS(Dataset!$AK:$AK,Dataset!$F:$F,credito!$D$11,Dataset!$AC:$AC,P$48,Dataset!$J:$J,"&lt;"&amp;$D51,Dataset!J:J,"&gt;="&amp;$C51)</f>
        <v>0</v>
      </c>
      <c r="Q51" s="83">
        <f>SUMIFS(Dataset!$AK:$AK,Dataset!$F:$F,credito!$D$11,Dataset!$AC:$AC,Q$48,Dataset!$J:$J,"&lt;"&amp;$D51,Dataset!J:J,"&gt;="&amp;$C51)</f>
        <v>1.735011704729025E-2</v>
      </c>
      <c r="R51" s="83">
        <f>SUMIFS(Dataset!$AK:$AK,Dataset!$F:$F,credito!$D$11,Dataset!$AC:$AC,R$48,Dataset!$J:$J,"&lt;"&amp;$D51,Dataset!J:J,"&gt;="&amp;$C51)</f>
        <v>0</v>
      </c>
      <c r="S51" s="83">
        <f>SUMIFS(Dataset!$AK:$AK,Dataset!$F:$F,credito!$D$11,Dataset!$AC:$AC,S$48,Dataset!$J:$J,"&lt;"&amp;$D51,Dataset!J:J,"&gt;="&amp;$C51)</f>
        <v>1.2352565755906188E-2</v>
      </c>
      <c r="T51" s="83">
        <f>SUMIFS(Dataset!$AK:$AK,Dataset!$F:$F,credito!$D$11,Dataset!$AC:$AC,T$48,Dataset!$J:$J,"&lt;"&amp;$D51,Dataset!J:J,"&gt;="&amp;$C51)</f>
        <v>0</v>
      </c>
      <c r="U51" s="83">
        <f>SUMIFS(Dataset!$AK:$AK,Dataset!$F:$F,credito!$D$11,Dataset!$AC:$AC,"A",Dataset!$J:$J,"&lt;"&amp;$D51,Dataset!$J:$J,"&gt;="&amp;$C51)+SUMIFS(Dataset!$AK:$AK,Dataset!$F:$F,credito!$D$11,Dataset!$AC:$AC,"A-",Dataset!$J:$J,"&lt;"&amp;$D51,Dataset!$J:$J,"&gt;="&amp;$C51)+SUMIFS(Dataset!$AK:$AK,Dataset!$F:$F,credito!$D$11,Dataset!$AC:$AC,"A+",Dataset!$J:$J,"&lt;"&amp;$D51,Dataset!$J:$J,"&gt;="&amp;$C51)</f>
        <v>2.3764403122444582E-2</v>
      </c>
      <c r="V51" s="83">
        <f>SUMIFS(Dataset!$AK:$AK,Dataset!$F:$F,credito!$D$11,Dataset!$AC:$AC,"BBB",Dataset!$J:$J,"&lt;"&amp;$D51,Dataset!$J:$J,"&gt;="&amp;$C51)+SUMIFS(Dataset!$AK:$AK,Dataset!$F:$F,credito!$D$11,Dataset!$AC:$AC,"BBB-",Dataset!$J:$J,"&lt;"&amp;$D51,Dataset!$J:$J,"&gt;="&amp;$C51)+SUMIFS(Dataset!$AK:$AK,Dataset!$F:$F,credito!$D$11,Dataset!$AC:$AC,"BBB+",Dataset!$J:$J,"&lt;"&amp;$D51,Dataset!$J:$J,"&gt;="&amp;$C51)</f>
        <v>0</v>
      </c>
      <c r="W51" s="83">
        <f>SUMIFS(Dataset!$AK:$AK,Dataset!$F:$F,credito!$D$11,Dataset!$J:$J,"&lt;"&amp;$D51,Dataset!$J:$J,"&gt;="&amp;$C51,Dataset!$AC:$AC,"&lt;&gt;N-1+",Dataset!$AC:$AC,"&lt;&gt;*AA*",Dataset!$AC:$AC,"&lt;&gt;*AAA*",Dataset!$AC:$AC,"&lt;&gt;A",Dataset!$AC:$AC,"&lt;&gt;A-",Dataset!$AC:$AC,"&lt;&gt;A+",Dataset!$AC:$AC,"&lt;&gt;*BBB*")</f>
        <v>9.6408413026002285E-3</v>
      </c>
      <c r="X51" s="84">
        <f t="shared" si="3"/>
        <v>6.3107927228241253E-2</v>
      </c>
      <c r="Y51" s="85">
        <f>10*SUMIFS(Dataset!$H:$H,Dataset!$F:$F,credito!$D$11,Dataset!AH:AH,"deposito",Dataset!T:T,"$",Dataset!$J:$J,"&lt;"&amp;$D51,Dataset!J:J,"&gt;="&amp;$C51)</f>
        <v>0</v>
      </c>
      <c r="Z51" s="86">
        <f>10*SUMIFS(Dataset!$H:$H,Dataset!$F:$F,credito!$D$11,Dataset!AH:AH,"deposito",Dataset!T:T,"UF",Dataset!$J:$J,"&lt;"&amp;$D51,Dataset!J:J,"&gt;="&amp;$C51)</f>
        <v>0</v>
      </c>
      <c r="AA51" s="86">
        <f>10*SUMIFS(Dataset!$H:$H,Dataset!$F:$F,credito!$D$11,Dataset!AH:AH,"bono de gobierno",Dataset!T:T,"$",Dataset!$J:$J,"&lt;"&amp;$D51,Dataset!J:J,"&gt;="&amp;$C51)</f>
        <v>0</v>
      </c>
      <c r="AB51" s="86">
        <f>10*SUMIFS(Dataset!$H:$H,Dataset!$F:$F,credito!$D$11,Dataset!AH:AH,"bono de gobierno",Dataset!T:T,"uf",Dataset!$J:$J,"&lt;"&amp;$D51,Dataset!J:J,"&gt;="&amp;$C51)</f>
        <v>0</v>
      </c>
      <c r="AC51" s="86">
        <f>10*SUMIFS(Dataset!$H:$H,Dataset!$F:$F,credito!$D$11,Dataset!AH:AH,"bono de gobierno",Dataset!T:T,"eu",Dataset!$J:$J,"&lt;"&amp;$D51,Dataset!J:J,"&gt;="&amp;$C51)</f>
        <v>0</v>
      </c>
      <c r="AD51" s="86">
        <f>10*SUMIFS(Dataset!$H:$H,Dataset!$F:$F,credito!$D$11,Dataset!AH:AH,"bono de gobierno",Dataset!T:T,"mx",Dataset!$J:$J,"&lt;"&amp;$D51,Dataset!J:J,"&gt;="&amp;$C51)</f>
        <v>0</v>
      </c>
      <c r="AE51" s="86">
        <f>10*SUMIFS(Dataset!$H:$H,Dataset!$F:$F,credito!$D$11,Dataset!AH:AH,"bono corporativo",Dataset!T:T,"$",Dataset!$J:$J,"&lt;"&amp;$D51,Dataset!J:J,"&gt;="&amp;$C51)</f>
        <v>0.37880652418932953</v>
      </c>
      <c r="AF51" s="86">
        <f>10*SUMIFS(Dataset!$H:$H,Dataset!$F:$F,credito!$D$11,Dataset!AH:AH,"bono corporativo",Dataset!T:T,"uf",Dataset!$J:$J,"&lt;"&amp;$D51,Dataset!J:J,"&gt;="&amp;$C51)</f>
        <v>0.94994088729030723</v>
      </c>
      <c r="AG51" s="86">
        <f>10*SUMIFS(Dataset!$H:$H,Dataset!$F:$F,credito!$D$11,Dataset!AH:AH,"bono corporativo",Dataset!T:T,"us$",Dataset!$J:$J,"&lt;"&amp;$D51,Dataset!J:J,"&gt;="&amp;$C51)</f>
        <v>4.4978099102943328E-2</v>
      </c>
      <c r="AH51" s="86">
        <f>10*SUMIFS(Dataset!H:H,Dataset!F:F,credito!$D$11,Dataset!J:J,"&lt;"&amp;$D74,Dataset!J:J,"&gt;="&amp;$C74,Dataset!AH:AH,"&lt;&gt;bono corporativo",Dataset!AH:AH,"&lt;&gt;bono de gobierno",Dataset!AH:AH,"&lt;&gt;deposito")</f>
        <v>0</v>
      </c>
      <c r="AI51" s="87">
        <f t="shared" si="4"/>
        <v>1.3737255105825801</v>
      </c>
    </row>
    <row r="52" spans="3:35" ht="33" customHeight="1" x14ac:dyDescent="0.3">
      <c r="C52" s="61">
        <v>2.5</v>
      </c>
      <c r="D52" s="81">
        <v>3.5</v>
      </c>
      <c r="E52" s="82">
        <f>SUMIFS(Dataset!AK:AK,Dataset!F:F,credito!$D$11,Dataset!AH:AH,"deposito",Dataset!T:T,"$",Dataset!J:J,"&lt;"&amp;$D52,Dataset!J:J,"&gt;="&amp;$C52)</f>
        <v>0</v>
      </c>
      <c r="F52" s="83">
        <f>SUMIFS(Dataset!AK:AK,Dataset!F:F,credito!$D$11,Dataset!AH:AH,"deposito",Dataset!T:T,"UF",Dataset!J:J,"&lt;"&amp;$D52,Dataset!J:J,"&gt;="&amp;$C52)</f>
        <v>0</v>
      </c>
      <c r="G52" s="83">
        <f>SUMIFS(Dataset!AK:AK,Dataset!F:F,credito!$D$11,Dataset!AH:AH,"bono de gobierno",Dataset!T:T,"$",Dataset!J:J,"&lt;"&amp;$D52,Dataset!J:J,"&gt;="&amp;$C52)</f>
        <v>0</v>
      </c>
      <c r="H52" s="83">
        <f>SUMIFS(Dataset!AK:AK,Dataset!F:F,credito!$D$11,Dataset!AH:AH,"bono de gobierno",Dataset!T:T,"UF",Dataset!J:J,"&lt;"&amp;$D52,Dataset!J:J,"&gt;="&amp;$C52)</f>
        <v>1.7745935478991646E-2</v>
      </c>
      <c r="I52" s="83">
        <f>SUMIFS(Dataset!AK:AK,Dataset!F:F,credito!$D$11,Dataset!AH:AH,"bono de gobierno",Dataset!T:T,"eu",Dataset!J:J,"&lt;"&amp;$D52,Dataset!J:J,"&gt;="&amp;$C52)</f>
        <v>0</v>
      </c>
      <c r="J52" s="83">
        <f>SUMIFS(Dataset!AK:AK,Dataset!F:F,credito!$D$11,Dataset!AH:AH,"bono de gobierno",Dataset!T:T,"mx",Dataset!J:J,"&lt;"&amp;$D52,Dataset!J:J,"&gt;="&amp;$C52)</f>
        <v>0</v>
      </c>
      <c r="K52" s="83">
        <f>SUMIFS(Dataset!AK:AK,Dataset!F:F,credito!$D$11,Dataset!AH:AH,"bono corporativo",Dataset!T:T,"$",Dataset!J:J,"&lt;"&amp;$D52,Dataset!J:J,"&gt;="&amp;$C52)</f>
        <v>2.5859787923686851E-2</v>
      </c>
      <c r="L52" s="83">
        <f>SUMIFS(Dataset!AK:AK,Dataset!F:F,credito!$D$11,Dataset!AH:AH,"bono corporativo",Dataset!T:T,"UF",Dataset!J:J,"&lt;"&amp;$D52,Dataset!J:J,"&gt;="&amp;$C52)</f>
        <v>0.1185655423234299</v>
      </c>
      <c r="M52" s="83">
        <f>SUMIFS(Dataset!AK:AK,Dataset!F:F,credito!$D$11,Dataset!AH:AH,"bono corporativo",Dataset!T:T,"US$",Dataset!J:J,"&lt;"&amp;$D52,Dataset!J:J,"&gt;="&amp;$C52)</f>
        <v>5.5622297821367106E-3</v>
      </c>
      <c r="N52" s="83">
        <f>SUMIFS(Dataset!AK:AK,Dataset!F:F,credito!$D$11,Dataset!J:J,"&lt;"&amp;$D52,Dataset!J:J,"&gt;="&amp;$C52,Dataset!AH:AH,"&lt;&gt;bono corporativo",Dataset!AH:AH,"&lt;&gt;bono de gobierno",Dataset!AH:AH,"&lt;&gt;deposito")</f>
        <v>0</v>
      </c>
      <c r="O52" s="84">
        <f t="shared" si="2"/>
        <v>0.16773349550824512</v>
      </c>
      <c r="P52" s="82">
        <f>SUMIFS(Dataset!$AK:$AK,Dataset!$F:$F,credito!$D$11,Dataset!$AC:$AC,P$48,Dataset!$J:$J,"&lt;"&amp;$D52,Dataset!J:J,"&gt;="&amp;$C52)</f>
        <v>0</v>
      </c>
      <c r="Q52" s="83">
        <f>SUMIFS(Dataset!$AK:$AK,Dataset!$F:$F,credito!$D$11,Dataset!$AC:$AC,Q$48,Dataset!$J:$J,"&lt;"&amp;$D52,Dataset!J:J,"&gt;="&amp;$C52)</f>
        <v>1.7745935478991646E-2</v>
      </c>
      <c r="R52" s="83">
        <f>SUMIFS(Dataset!$AK:$AK,Dataset!$F:$F,credito!$D$11,Dataset!$AC:$AC,R$48,Dataset!$J:$J,"&lt;"&amp;$D52,Dataset!J:J,"&gt;="&amp;$C52)</f>
        <v>0</v>
      </c>
      <c r="S52" s="83">
        <f>SUMIFS(Dataset!$AK:$AK,Dataset!$F:$F,credito!$D$11,Dataset!$AC:$AC,S$48,Dataset!$J:$J,"&lt;"&amp;$D52,Dataset!J:J,"&gt;="&amp;$C52)</f>
        <v>1.4123413719128839E-2</v>
      </c>
      <c r="T52" s="83">
        <f>SUMIFS(Dataset!$AK:$AK,Dataset!$F:$F,credito!$D$11,Dataset!$AC:$AC,T$48,Dataset!$J:$J,"&lt;"&amp;$D52,Dataset!J:J,"&gt;="&amp;$C52)</f>
        <v>2.7571194249835361E-2</v>
      </c>
      <c r="U52" s="83">
        <f>SUMIFS(Dataset!$AK:$AK,Dataset!$F:$F,credito!$D$11,Dataset!$AC:$AC,"A",Dataset!$J:$J,"&lt;"&amp;$D52,Dataset!$J:$J,"&gt;="&amp;$C52)+SUMIFS(Dataset!$AK:$AK,Dataset!$F:$F,credito!$D$11,Dataset!$AC:$AC,"A-",Dataset!$J:$J,"&lt;"&amp;$D52,Dataset!$J:$J,"&gt;="&amp;$C52)+SUMIFS(Dataset!$AK:$AK,Dataset!$F:$F,credito!$D$11,Dataset!$AC:$AC,"A+",Dataset!$J:$J,"&lt;"&amp;$D52,Dataset!$J:$J,"&gt;="&amp;$C52)</f>
        <v>5.8608328343122587E-2</v>
      </c>
      <c r="V52" s="83">
        <f>SUMIFS(Dataset!$AK:$AK,Dataset!$F:$F,credito!$D$11,Dataset!$AC:$AC,"BBB",Dataset!$J:$J,"&lt;"&amp;$D52,Dataset!$J:$J,"&gt;="&amp;$C52)+SUMIFS(Dataset!$AK:$AK,Dataset!$F:$F,credito!$D$11,Dataset!$AC:$AC,"BBB-",Dataset!$J:$J,"&lt;"&amp;$D52,Dataset!$J:$J,"&gt;="&amp;$C52)+SUMIFS(Dataset!$AK:$AK,Dataset!$F:$F,credito!$D$11,Dataset!$AC:$AC,"BBB+",Dataset!$J:$J,"&lt;"&amp;$D52,Dataset!$J:$J,"&gt;="&amp;$C52)</f>
        <v>2.2095764024008722E-2</v>
      </c>
      <c r="W52" s="83">
        <f>SUMIFS(Dataset!$AK:$AK,Dataset!$F:$F,credito!$D$11,Dataset!$J:$J,"&lt;"&amp;$D52,Dataset!$J:$J,"&gt;="&amp;$C52,Dataset!$AC:$AC,"&lt;&gt;N-1+",Dataset!$AC:$AC,"&lt;&gt;*AA*",Dataset!$AC:$AC,"&lt;&gt;*AAA*",Dataset!$AC:$AC,"&lt;&gt;A",Dataset!$AC:$AC,"&lt;&gt;A-",Dataset!$AC:$AC,"&lt;&gt;A+",Dataset!$AC:$AC,"&lt;&gt;*BBB*")</f>
        <v>2.7588859693157955E-2</v>
      </c>
      <c r="X52" s="84">
        <f t="shared" si="3"/>
        <v>0.16773349550824512</v>
      </c>
      <c r="Y52" s="85">
        <f>10*SUMIFS(Dataset!$H:$H,Dataset!$F:$F,credito!$D$11,Dataset!AH:AH,"deposito",Dataset!T:T,"$",Dataset!$J:$J,"&lt;"&amp;$D52,Dataset!J:J,"&gt;="&amp;$C52)</f>
        <v>0</v>
      </c>
      <c r="Z52" s="86">
        <f>10*SUMIFS(Dataset!$H:$H,Dataset!$F:$F,credito!$D$11,Dataset!AH:AH,"deposito",Dataset!T:T,"UF",Dataset!$J:$J,"&lt;"&amp;$D52,Dataset!J:J,"&gt;="&amp;$C52)</f>
        <v>0</v>
      </c>
      <c r="AA52" s="86">
        <f>10*SUMIFS(Dataset!$H:$H,Dataset!$F:$F,credito!$D$11,Dataset!AH:AH,"bono de gobierno",Dataset!T:T,"$",Dataset!$J:$J,"&lt;"&amp;$D52,Dataset!J:J,"&gt;="&amp;$C52)</f>
        <v>0</v>
      </c>
      <c r="AB52" s="86">
        <f>10*SUMIFS(Dataset!$H:$H,Dataset!$F:$F,credito!$D$11,Dataset!AH:AH,"bono de gobierno",Dataset!T:T,"uf",Dataset!$J:$J,"&lt;"&amp;$D52,Dataset!J:J,"&gt;="&amp;$C52)</f>
        <v>0.51995590953445525</v>
      </c>
      <c r="AC52" s="86">
        <f>10*SUMIFS(Dataset!$H:$H,Dataset!$F:$F,credito!$D$11,Dataset!AH:AH,"bono de gobierno",Dataset!T:T,"eu",Dataset!$J:$J,"&lt;"&amp;$D52,Dataset!J:J,"&gt;="&amp;$C52)</f>
        <v>0</v>
      </c>
      <c r="AD52" s="86">
        <f>10*SUMIFS(Dataset!$H:$H,Dataset!$F:$F,credito!$D$11,Dataset!AH:AH,"bono de gobierno",Dataset!T:T,"mx",Dataset!$J:$J,"&lt;"&amp;$D52,Dataset!J:J,"&gt;="&amp;$C52)</f>
        <v>0</v>
      </c>
      <c r="AE52" s="86">
        <f>10*SUMIFS(Dataset!$H:$H,Dataset!$F:$F,credito!$D$11,Dataset!AH:AH,"bono corporativo",Dataset!T:T,"$",Dataset!$J:$J,"&lt;"&amp;$D52,Dataset!J:J,"&gt;="&amp;$C52)</f>
        <v>0.83596993452659296</v>
      </c>
      <c r="AF52" s="86">
        <f>10*SUMIFS(Dataset!$H:$H,Dataset!$F:$F,credito!$D$11,Dataset!AH:AH,"bono corporativo",Dataset!T:T,"uf",Dataset!$J:$J,"&lt;"&amp;$D52,Dataset!J:J,"&gt;="&amp;$C52)</f>
        <v>3.5684681715969817</v>
      </c>
      <c r="AG52" s="86">
        <f>10*SUMIFS(Dataset!$H:$H,Dataset!$F:$F,credito!$D$11,Dataset!AH:AH,"bono corporativo",Dataset!T:T,"us$",Dataset!$J:$J,"&lt;"&amp;$D52,Dataset!J:J,"&gt;="&amp;$C52)</f>
        <v>0.19134070450550283</v>
      </c>
      <c r="AH52" s="86">
        <f>10*SUMIFS(Dataset!H:H,Dataset!F:F,credito!$D$11,Dataset!J:J,"&lt;"&amp;$D75,Dataset!J:J,"&gt;="&amp;$C75,Dataset!AH:AH,"&lt;&gt;bono corporativo",Dataset!AH:AH,"&lt;&gt;bono de gobierno",Dataset!AH:AH,"&lt;&gt;deposito")</f>
        <v>0</v>
      </c>
      <c r="AI52" s="87">
        <f t="shared" si="4"/>
        <v>5.115734720163533</v>
      </c>
    </row>
    <row r="53" spans="3:35" ht="33" customHeight="1" x14ac:dyDescent="0.3">
      <c r="C53" s="61">
        <v>3.5</v>
      </c>
      <c r="D53" s="81">
        <v>4.5</v>
      </c>
      <c r="E53" s="82">
        <f>SUMIFS(Dataset!AK:AK,Dataset!F:F,credito!$D$11,Dataset!AH:AH,"deposito",Dataset!T:T,"$",Dataset!J:J,"&lt;"&amp;$D53,Dataset!J:J,"&gt;="&amp;$C53)</f>
        <v>0</v>
      </c>
      <c r="F53" s="83">
        <f>SUMIFS(Dataset!AK:AK,Dataset!F:F,credito!$D$11,Dataset!AH:AH,"deposito",Dataset!T:T,"UF",Dataset!J:J,"&lt;"&amp;$D53,Dataset!J:J,"&gt;="&amp;$C53)</f>
        <v>0</v>
      </c>
      <c r="G53" s="83">
        <f>SUMIFS(Dataset!AK:AK,Dataset!F:F,credito!$D$11,Dataset!AH:AH,"bono de gobierno",Dataset!T:T,"$",Dataset!J:J,"&lt;"&amp;$D53,Dataset!J:J,"&gt;="&amp;$C53)</f>
        <v>0</v>
      </c>
      <c r="H53" s="83">
        <f>SUMIFS(Dataset!AK:AK,Dataset!F:F,credito!$D$11,Dataset!AH:AH,"bono de gobierno",Dataset!T:T,"UF",Dataset!J:J,"&lt;"&amp;$D53,Dataset!J:J,"&gt;="&amp;$C53)</f>
        <v>0</v>
      </c>
      <c r="I53" s="83">
        <f>SUMIFS(Dataset!AK:AK,Dataset!F:F,credito!$D$11,Dataset!AH:AH,"bono de gobierno",Dataset!T:T,"eu",Dataset!J:J,"&lt;"&amp;$D53,Dataset!J:J,"&gt;="&amp;$C53)</f>
        <v>0</v>
      </c>
      <c r="J53" s="83">
        <f>SUMIFS(Dataset!AK:AK,Dataset!F:F,credito!$D$11,Dataset!AH:AH,"bono de gobierno",Dataset!T:T,"mx",Dataset!J:J,"&lt;"&amp;$D53,Dataset!J:J,"&gt;="&amp;$C53)</f>
        <v>0</v>
      </c>
      <c r="K53" s="83">
        <f>SUMIFS(Dataset!AK:AK,Dataset!F:F,credito!$D$11,Dataset!AH:AH,"bono corporativo",Dataset!T:T,"$",Dataset!J:J,"&lt;"&amp;$D53,Dataset!J:J,"&gt;="&amp;$C53)</f>
        <v>1.1611930949413622E-2</v>
      </c>
      <c r="L53" s="83">
        <f>SUMIFS(Dataset!AK:AK,Dataset!F:F,credito!$D$11,Dataset!AH:AH,"bono corporativo",Dataset!T:T,"UF",Dataset!J:J,"&lt;"&amp;$D53,Dataset!J:J,"&gt;="&amp;$C53)</f>
        <v>6.105837982873686E-2</v>
      </c>
      <c r="M53" s="83">
        <f>SUMIFS(Dataset!AK:AK,Dataset!F:F,credito!$D$11,Dataset!AH:AH,"bono corporativo",Dataset!T:T,"US$",Dataset!J:J,"&lt;"&amp;$D53,Dataset!J:J,"&gt;="&amp;$C53)</f>
        <v>0</v>
      </c>
      <c r="N53" s="83">
        <f>SUMIFS(Dataset!AK:AK,Dataset!F:F,credito!$D$11,Dataset!J:J,"&lt;"&amp;$D53,Dataset!J:J,"&gt;="&amp;$C53,Dataset!AH:AH,"&lt;&gt;bono corporativo",Dataset!AH:AH,"&lt;&gt;bono de gobierno",Dataset!AH:AH,"&lt;&gt;deposito")</f>
        <v>0</v>
      </c>
      <c r="O53" s="84">
        <f t="shared" si="2"/>
        <v>7.2670310778150476E-2</v>
      </c>
      <c r="P53" s="82">
        <f>SUMIFS(Dataset!$AK:$AK,Dataset!$F:$F,credito!$D$11,Dataset!$AC:$AC,P$48,Dataset!$J:$J,"&lt;"&amp;$D53,Dataset!J:J,"&gt;="&amp;$C53)</f>
        <v>0</v>
      </c>
      <c r="Q53" s="83">
        <f>SUMIFS(Dataset!$AK:$AK,Dataset!$F:$F,credito!$D$11,Dataset!$AC:$AC,Q$48,Dataset!$J:$J,"&lt;"&amp;$D53,Dataset!J:J,"&gt;="&amp;$C53)</f>
        <v>3.7550714261325906E-3</v>
      </c>
      <c r="R53" s="83">
        <f>SUMIFS(Dataset!$AK:$AK,Dataset!$F:$F,credito!$D$11,Dataset!$AC:$AC,R$48,Dataset!$J:$J,"&lt;"&amp;$D53,Dataset!J:J,"&gt;="&amp;$C53)</f>
        <v>7.3572053201813106E-3</v>
      </c>
      <c r="S53" s="83">
        <f>SUMIFS(Dataset!$AK:$AK,Dataset!$F:$F,credito!$D$11,Dataset!$AC:$AC,S$48,Dataset!$J:$J,"&lt;"&amp;$D53,Dataset!J:J,"&gt;="&amp;$C53)</f>
        <v>0</v>
      </c>
      <c r="T53" s="83">
        <f>SUMIFS(Dataset!$AK:$AK,Dataset!$F:$F,credito!$D$11,Dataset!$AC:$AC,T$48,Dataset!$J:$J,"&lt;"&amp;$D53,Dataset!J:J,"&gt;="&amp;$C53)</f>
        <v>3.7682743753126121E-4</v>
      </c>
      <c r="U53" s="83">
        <f>SUMIFS(Dataset!$AK:$AK,Dataset!$F:$F,credito!$D$11,Dataset!$AC:$AC,"A",Dataset!$J:$J,"&lt;"&amp;$D53,Dataset!$J:$J,"&gt;="&amp;$C53)+SUMIFS(Dataset!$AK:$AK,Dataset!$F:$F,credito!$D$11,Dataset!$AC:$AC,"A-",Dataset!$J:$J,"&lt;"&amp;$D53,Dataset!$J:$J,"&gt;="&amp;$C53)+SUMIFS(Dataset!$AK:$AK,Dataset!$F:$F,credito!$D$11,Dataset!$AC:$AC,"A+",Dataset!$J:$J,"&lt;"&amp;$D53,Dataset!$J:$J,"&gt;="&amp;$C53)</f>
        <v>2.5569726928754963E-2</v>
      </c>
      <c r="V53" s="83">
        <f>SUMIFS(Dataset!$AK:$AK,Dataset!$F:$F,credito!$D$11,Dataset!$AC:$AC,"BBB",Dataset!$J:$J,"&lt;"&amp;$D53,Dataset!$J:$J,"&gt;="&amp;$C53)+SUMIFS(Dataset!$AK:$AK,Dataset!$F:$F,credito!$D$11,Dataset!$AC:$AC,"BBB-",Dataset!$J:$J,"&lt;"&amp;$D53,Dataset!$J:$J,"&gt;="&amp;$C53)+SUMIFS(Dataset!$AK:$AK,Dataset!$F:$F,credito!$D$11,Dataset!$AC:$AC,"BBB+",Dataset!$J:$J,"&lt;"&amp;$D53,Dataset!$J:$J,"&gt;="&amp;$C53)</f>
        <v>3.5611479665550366E-2</v>
      </c>
      <c r="W53" s="83">
        <f>SUMIFS(Dataset!$AK:$AK,Dataset!$F:$F,credito!$D$11,Dataset!$J:$J,"&lt;"&amp;$D53,Dataset!$J:$J,"&gt;="&amp;$C53,Dataset!$AC:$AC,"&lt;&gt;N-1+",Dataset!$AC:$AC,"&lt;&gt;*AA*",Dataset!$AC:$AC,"&lt;&gt;*AAA*",Dataset!$AC:$AC,"&lt;&gt;A",Dataset!$AC:$AC,"&lt;&gt;A-",Dataset!$AC:$AC,"&lt;&gt;A+",Dataset!$AC:$AC,"&lt;&gt;*BBB*")</f>
        <v>0</v>
      </c>
      <c r="X53" s="84">
        <f t="shared" si="3"/>
        <v>7.267031077815049E-2</v>
      </c>
      <c r="Y53" s="85">
        <f>10*SUMIFS(Dataset!$H:$H,Dataset!$F:$F,credito!$D$11,Dataset!AH:AH,"deposito",Dataset!T:T,"$",Dataset!$J:$J,"&lt;"&amp;$D53,Dataset!J:J,"&gt;="&amp;$C53)</f>
        <v>0</v>
      </c>
      <c r="Z53" s="86">
        <f>10*SUMIFS(Dataset!$H:$H,Dataset!$F:$F,credito!$D$11,Dataset!AH:AH,"deposito",Dataset!T:T,"UF",Dataset!$J:$J,"&lt;"&amp;$D53,Dataset!J:J,"&gt;="&amp;$C53)</f>
        <v>0</v>
      </c>
      <c r="AA53" s="86">
        <f>10*SUMIFS(Dataset!$H:$H,Dataset!$F:$F,credito!$D$11,Dataset!AH:AH,"bono de gobierno",Dataset!T:T,"$",Dataset!$J:$J,"&lt;"&amp;$D53,Dataset!J:J,"&gt;="&amp;$C53)</f>
        <v>0</v>
      </c>
      <c r="AB53" s="86">
        <f>10*SUMIFS(Dataset!$H:$H,Dataset!$F:$F,credito!$D$11,Dataset!AH:AH,"bono de gobierno",Dataset!T:T,"uf",Dataset!$J:$J,"&lt;"&amp;$D53,Dataset!J:J,"&gt;="&amp;$C53)</f>
        <v>0</v>
      </c>
      <c r="AC53" s="86">
        <f>10*SUMIFS(Dataset!$H:$H,Dataset!$F:$F,credito!$D$11,Dataset!AH:AH,"bono de gobierno",Dataset!T:T,"eu",Dataset!$J:$J,"&lt;"&amp;$D53,Dataset!J:J,"&gt;="&amp;$C53)</f>
        <v>0</v>
      </c>
      <c r="AD53" s="86">
        <f>10*SUMIFS(Dataset!$H:$H,Dataset!$F:$F,credito!$D$11,Dataset!AH:AH,"bono de gobierno",Dataset!T:T,"mx",Dataset!$J:$J,"&lt;"&amp;$D53,Dataset!J:J,"&gt;="&amp;$C53)</f>
        <v>0</v>
      </c>
      <c r="AE53" s="86">
        <f>10*SUMIFS(Dataset!$H:$H,Dataset!$F:$F,credito!$D$11,Dataset!AH:AH,"bono corporativo",Dataset!T:T,"$",Dataset!$J:$J,"&lt;"&amp;$D53,Dataset!J:J,"&gt;="&amp;$C53)</f>
        <v>0.44822053464736578</v>
      </c>
      <c r="AF53" s="86">
        <f>10*SUMIFS(Dataset!$H:$H,Dataset!$F:$F,credito!$D$11,Dataset!AH:AH,"bono corporativo",Dataset!T:T,"uf",Dataset!$J:$J,"&lt;"&amp;$D53,Dataset!J:J,"&gt;="&amp;$C53)</f>
        <v>2.3896999513914401</v>
      </c>
      <c r="AG53" s="86">
        <f>10*SUMIFS(Dataset!$H:$H,Dataset!$F:$F,credito!$D$11,Dataset!AH:AH,"bono corporativo",Dataset!T:T,"us$",Dataset!$J:$J,"&lt;"&amp;$D53,Dataset!J:J,"&gt;="&amp;$C53)</f>
        <v>0</v>
      </c>
      <c r="AH53" s="86">
        <f>10*SUMIFS(Dataset!H:H,Dataset!F:F,credito!$D$11,Dataset!J:J,"&lt;"&amp;$D76,Dataset!J:J,"&gt;="&amp;$C76,Dataset!AH:AH,"&lt;&gt;bono corporativo",Dataset!AH:AH,"&lt;&gt;bono de gobierno",Dataset!AH:AH,"&lt;&gt;deposito")</f>
        <v>0</v>
      </c>
      <c r="AI53" s="87">
        <f t="shared" si="4"/>
        <v>2.8379204860388061</v>
      </c>
    </row>
    <row r="54" spans="3:35" ht="33" customHeight="1" x14ac:dyDescent="0.3">
      <c r="C54" s="61">
        <v>4.5</v>
      </c>
      <c r="D54" s="81">
        <v>5.5</v>
      </c>
      <c r="E54" s="82">
        <f>SUMIFS(Dataset!AK:AK,Dataset!F:F,credito!$D$11,Dataset!AH:AH,"deposito",Dataset!T:T,"$",Dataset!J:J,"&lt;"&amp;$D54,Dataset!J:J,"&gt;="&amp;$C54)</f>
        <v>0</v>
      </c>
      <c r="F54" s="83">
        <f>SUMIFS(Dataset!AK:AK,Dataset!F:F,credito!$D$11,Dataset!AH:AH,"deposito",Dataset!T:T,"UF",Dataset!J:J,"&lt;"&amp;$D54,Dataset!J:J,"&gt;="&amp;$C54)</f>
        <v>0</v>
      </c>
      <c r="G54" s="83">
        <f>SUMIFS(Dataset!AK:AK,Dataset!F:F,credito!$D$11,Dataset!AH:AH,"bono de gobierno",Dataset!T:T,"$",Dataset!J:J,"&lt;"&amp;$D54,Dataset!J:J,"&gt;="&amp;$C54)</f>
        <v>0</v>
      </c>
      <c r="H54" s="83">
        <f>SUMIFS(Dataset!AK:AK,Dataset!F:F,credito!$D$11,Dataset!AH:AH,"bono de gobierno",Dataset!T:T,"UF",Dataset!J:J,"&lt;"&amp;$D54,Dataset!J:J,"&gt;="&amp;$C54)</f>
        <v>0</v>
      </c>
      <c r="I54" s="83">
        <f>SUMIFS(Dataset!AK:AK,Dataset!F:F,credito!$D$11,Dataset!AH:AH,"bono de gobierno",Dataset!T:T,"eu",Dataset!J:J,"&lt;"&amp;$D54,Dataset!J:J,"&gt;="&amp;$C54)</f>
        <v>0</v>
      </c>
      <c r="J54" s="83">
        <f>SUMIFS(Dataset!AK:AK,Dataset!F:F,credito!$D$11,Dataset!AH:AH,"bono de gobierno",Dataset!T:T,"mx",Dataset!J:J,"&lt;"&amp;$D54,Dataset!J:J,"&gt;="&amp;$C54)</f>
        <v>0</v>
      </c>
      <c r="K54" s="83">
        <f>SUMIFS(Dataset!AK:AK,Dataset!F:F,credito!$D$11,Dataset!AH:AH,"bono corporativo",Dataset!T:T,"$",Dataset!J:J,"&lt;"&amp;$D54,Dataset!J:J,"&gt;="&amp;$C54)</f>
        <v>0</v>
      </c>
      <c r="L54" s="83">
        <f>SUMIFS(Dataset!AK:AK,Dataset!F:F,credito!$D$11,Dataset!AH:AH,"bono corporativo",Dataset!T:T,"UF",Dataset!J:J,"&lt;"&amp;$D54,Dataset!J:J,"&gt;="&amp;$C54)</f>
        <v>6.6384991884346128E-2</v>
      </c>
      <c r="M54" s="83">
        <f>SUMIFS(Dataset!AK:AK,Dataset!F:F,credito!$D$11,Dataset!AH:AH,"bono corporativo",Dataset!T:T,"US$",Dataset!J:J,"&lt;"&amp;$D54,Dataset!J:J,"&gt;="&amp;$C54)</f>
        <v>1.5543357186923073E-2</v>
      </c>
      <c r="N54" s="83">
        <f>SUMIFS(Dataset!AK:AK,Dataset!F:F,credito!$D$11,Dataset!J:J,"&lt;"&amp;$D54,Dataset!J:J,"&gt;="&amp;$C54,Dataset!AH:AH,"&lt;&gt;bono corporativo",Dataset!AH:AH,"&lt;&gt;bono de gobierno",Dataset!AH:AH,"&lt;&gt;deposito")</f>
        <v>0</v>
      </c>
      <c r="O54" s="84">
        <f t="shared" si="2"/>
        <v>8.1928349071269196E-2</v>
      </c>
      <c r="P54" s="82">
        <f>SUMIFS(Dataset!$AK:$AK,Dataset!$F:$F,credito!$D$11,Dataset!$AC:$AC,P$48,Dataset!$J:$J,"&lt;"&amp;$D54,Dataset!J:J,"&gt;="&amp;$C54)</f>
        <v>0</v>
      </c>
      <c r="Q54" s="83">
        <f>SUMIFS(Dataset!$AK:$AK,Dataset!$F:$F,credito!$D$11,Dataset!$AC:$AC,Q$48,Dataset!$J:$J,"&lt;"&amp;$D54,Dataset!J:J,"&gt;="&amp;$C54)</f>
        <v>0</v>
      </c>
      <c r="R54" s="83">
        <f>SUMIFS(Dataset!$AK:$AK,Dataset!$F:$F,credito!$D$11,Dataset!$AC:$AC,R$48,Dataset!$J:$J,"&lt;"&amp;$D54,Dataset!J:J,"&gt;="&amp;$C54)</f>
        <v>0</v>
      </c>
      <c r="S54" s="83">
        <f>SUMIFS(Dataset!$AK:$AK,Dataset!$F:$F,credito!$D$11,Dataset!$AC:$AC,S$48,Dataset!$J:$J,"&lt;"&amp;$D54,Dataset!J:J,"&gt;="&amp;$C54)</f>
        <v>0</v>
      </c>
      <c r="T54" s="83">
        <f>SUMIFS(Dataset!$AK:$AK,Dataset!$F:$F,credito!$D$11,Dataset!$AC:$AC,T$48,Dataset!$J:$J,"&lt;"&amp;$D54,Dataset!J:J,"&gt;="&amp;$C54)</f>
        <v>1.6408911099830004E-2</v>
      </c>
      <c r="U54" s="83">
        <f>SUMIFS(Dataset!$AK:$AK,Dataset!$F:$F,credito!$D$11,Dataset!$AC:$AC,"A",Dataset!$J:$J,"&lt;"&amp;$D54,Dataset!$J:$J,"&gt;="&amp;$C54)+SUMIFS(Dataset!$AK:$AK,Dataset!$F:$F,credito!$D$11,Dataset!$AC:$AC,"A-",Dataset!$J:$J,"&lt;"&amp;$D54,Dataset!$J:$J,"&gt;="&amp;$C54)+SUMIFS(Dataset!$AK:$AK,Dataset!$F:$F,credito!$D$11,Dataset!$AC:$AC,"A+",Dataset!$J:$J,"&lt;"&amp;$D54,Dataset!$J:$J,"&gt;="&amp;$C54)</f>
        <v>3.6546394062162507E-2</v>
      </c>
      <c r="V54" s="83">
        <f>SUMIFS(Dataset!$AK:$AK,Dataset!$F:$F,credito!$D$11,Dataset!$AC:$AC,"BBB",Dataset!$J:$J,"&lt;"&amp;$D54,Dataset!$J:$J,"&gt;="&amp;$C54)+SUMIFS(Dataset!$AK:$AK,Dataset!$F:$F,credito!$D$11,Dataset!$AC:$AC,"BBB-",Dataset!$J:$J,"&lt;"&amp;$D54,Dataset!$J:$J,"&gt;="&amp;$C54)+SUMIFS(Dataset!$AK:$AK,Dataset!$F:$F,credito!$D$11,Dataset!$AC:$AC,"BBB+",Dataset!$J:$J,"&lt;"&amp;$D54,Dataset!$J:$J,"&gt;="&amp;$C54)</f>
        <v>1.3429686722353614E-2</v>
      </c>
      <c r="W54" s="83">
        <f>SUMIFS(Dataset!$AK:$AK,Dataset!$F:$F,credito!$D$11,Dataset!$J:$J,"&lt;"&amp;$D54,Dataset!$J:$J,"&gt;="&amp;$C54,Dataset!$AC:$AC,"&lt;&gt;N-1+",Dataset!$AC:$AC,"&lt;&gt;*AA*",Dataset!$AC:$AC,"&lt;&gt;*AAA*",Dataset!$AC:$AC,"&lt;&gt;A",Dataset!$AC:$AC,"&lt;&gt;A-",Dataset!$AC:$AC,"&lt;&gt;A+",Dataset!$AC:$AC,"&lt;&gt;*BBB*")</f>
        <v>1.5543357186923073E-2</v>
      </c>
      <c r="X54" s="84">
        <f t="shared" si="3"/>
        <v>8.1928349071269196E-2</v>
      </c>
      <c r="Y54" s="85">
        <f>10*SUMIFS(Dataset!$H:$H,Dataset!$F:$F,credito!$D$11,Dataset!AH:AH,"deposito",Dataset!T:T,"$",Dataset!$J:$J,"&lt;"&amp;$D54,Dataset!J:J,"&gt;="&amp;$C54)</f>
        <v>0</v>
      </c>
      <c r="Z54" s="86">
        <f>10*SUMIFS(Dataset!$H:$H,Dataset!$F:$F,credito!$D$11,Dataset!AH:AH,"deposito",Dataset!T:T,"UF",Dataset!$J:$J,"&lt;"&amp;$D54,Dataset!J:J,"&gt;="&amp;$C54)</f>
        <v>0</v>
      </c>
      <c r="AA54" s="86">
        <f>10*SUMIFS(Dataset!$H:$H,Dataset!$F:$F,credito!$D$11,Dataset!AH:AH,"bono de gobierno",Dataset!T:T,"$",Dataset!$J:$J,"&lt;"&amp;$D54,Dataset!J:J,"&gt;="&amp;$C54)</f>
        <v>0</v>
      </c>
      <c r="AB54" s="86">
        <f>10*SUMIFS(Dataset!$H:$H,Dataset!$F:$F,credito!$D$11,Dataset!AH:AH,"bono de gobierno",Dataset!T:T,"uf",Dataset!$J:$J,"&lt;"&amp;$D54,Dataset!J:J,"&gt;="&amp;$C54)</f>
        <v>0</v>
      </c>
      <c r="AC54" s="86">
        <f>10*SUMIFS(Dataset!$H:$H,Dataset!$F:$F,credito!$D$11,Dataset!AH:AH,"bono de gobierno",Dataset!T:T,"eu",Dataset!$J:$J,"&lt;"&amp;$D54,Dataset!J:J,"&gt;="&amp;$C54)</f>
        <v>0</v>
      </c>
      <c r="AD54" s="86">
        <f>10*SUMIFS(Dataset!$H:$H,Dataset!$F:$F,credito!$D$11,Dataset!AH:AH,"bono de gobierno",Dataset!T:T,"mx",Dataset!$J:$J,"&lt;"&amp;$D54,Dataset!J:J,"&gt;="&amp;$C54)</f>
        <v>0</v>
      </c>
      <c r="AE54" s="86">
        <f>10*SUMIFS(Dataset!$H:$H,Dataset!$F:$F,credito!$D$11,Dataset!AH:AH,"bono corporativo",Dataset!T:T,"$",Dataset!$J:$J,"&lt;"&amp;$D54,Dataset!J:J,"&gt;="&amp;$C54)</f>
        <v>0</v>
      </c>
      <c r="AF54" s="86">
        <f>10*SUMIFS(Dataset!$H:$H,Dataset!$F:$F,credito!$D$11,Dataset!AH:AH,"bono corporativo",Dataset!T:T,"uf",Dataset!$J:$J,"&lt;"&amp;$D54,Dataset!J:J,"&gt;="&amp;$C54)</f>
        <v>3.3059528952984891</v>
      </c>
      <c r="AG54" s="86">
        <f>10*SUMIFS(Dataset!$H:$H,Dataset!$F:$F,credito!$D$11,Dataset!AH:AH,"bono corporativo",Dataset!T:T,"us$",Dataset!$J:$J,"&lt;"&amp;$D54,Dataset!J:J,"&gt;="&amp;$C54)</f>
        <v>0.80449928665987569</v>
      </c>
      <c r="AH54" s="86">
        <f>10*SUMIFS(Dataset!H:H,Dataset!F:F,credito!$D$11,Dataset!J:J,"&lt;"&amp;$D77,Dataset!J:J,"&gt;="&amp;$C77,Dataset!AH:AH,"&lt;&gt;bono corporativo",Dataset!AH:AH,"&lt;&gt;bono de gobierno",Dataset!AH:AH,"&lt;&gt;deposito")</f>
        <v>0</v>
      </c>
      <c r="AI54" s="87">
        <f t="shared" si="4"/>
        <v>4.1104521819583653</v>
      </c>
    </row>
    <row r="55" spans="3:35" ht="33" customHeight="1" x14ac:dyDescent="0.3">
      <c r="C55" s="61">
        <v>5.5</v>
      </c>
      <c r="D55" s="81">
        <v>6.5</v>
      </c>
      <c r="E55" s="82">
        <f>SUMIFS(Dataset!AK:AK,Dataset!F:F,credito!$D$11,Dataset!AH:AH,"deposito",Dataset!T:T,"$",Dataset!J:J,"&lt;"&amp;$D55,Dataset!J:J,"&gt;="&amp;$C55)</f>
        <v>0</v>
      </c>
      <c r="F55" s="83">
        <f>SUMIFS(Dataset!AK:AK,Dataset!F:F,credito!$D$11,Dataset!AH:AH,"deposito",Dataset!T:T,"UF",Dataset!J:J,"&lt;"&amp;$D55,Dataset!J:J,"&gt;="&amp;$C55)</f>
        <v>0</v>
      </c>
      <c r="G55" s="83">
        <f>SUMIFS(Dataset!AK:AK,Dataset!F:F,credito!$D$11,Dataset!AH:AH,"bono de gobierno",Dataset!T:T,"$",Dataset!J:J,"&lt;"&amp;$D55,Dataset!J:J,"&gt;="&amp;$C55)</f>
        <v>0</v>
      </c>
      <c r="H55" s="83">
        <f>SUMIFS(Dataset!AK:AK,Dataset!F:F,credito!$D$11,Dataset!AH:AH,"bono de gobierno",Dataset!T:T,"UF",Dataset!J:J,"&lt;"&amp;$D55,Dataset!J:J,"&gt;="&amp;$C55)</f>
        <v>0</v>
      </c>
      <c r="I55" s="83">
        <f>SUMIFS(Dataset!AK:AK,Dataset!F:F,credito!$D$11,Dataset!AH:AH,"bono de gobierno",Dataset!T:T,"eu",Dataset!J:J,"&lt;"&amp;$D55,Dataset!J:J,"&gt;="&amp;$C55)</f>
        <v>0</v>
      </c>
      <c r="J55" s="83">
        <f>SUMIFS(Dataset!AK:AK,Dataset!F:F,credito!$D$11,Dataset!AH:AH,"bono de gobierno",Dataset!T:T,"mx",Dataset!J:J,"&lt;"&amp;$D55,Dataset!J:J,"&gt;="&amp;$C55)</f>
        <v>0</v>
      </c>
      <c r="K55" s="83">
        <f>SUMIFS(Dataset!AK:AK,Dataset!F:F,credito!$D$11,Dataset!AH:AH,"bono corporativo",Dataset!T:T,"$",Dataset!J:J,"&lt;"&amp;$D55,Dataset!J:J,"&gt;="&amp;$C55)</f>
        <v>0</v>
      </c>
      <c r="L55" s="83">
        <f>SUMIFS(Dataset!AK:AK,Dataset!F:F,credito!$D$11,Dataset!AH:AH,"bono corporativo",Dataset!T:T,"UF",Dataset!J:J,"&lt;"&amp;$D55,Dataset!J:J,"&gt;="&amp;$C55)</f>
        <v>0.10107875566551634</v>
      </c>
      <c r="M55" s="83">
        <f>SUMIFS(Dataset!AK:AK,Dataset!F:F,credito!$D$11,Dataset!AH:AH,"bono corporativo",Dataset!T:T,"US$",Dataset!J:J,"&lt;"&amp;$D55,Dataset!J:J,"&gt;="&amp;$C55)</f>
        <v>3.3675709702666373E-3</v>
      </c>
      <c r="N55" s="83">
        <f>SUMIFS(Dataset!AK:AK,Dataset!F:F,credito!$D$11,Dataset!J:J,"&lt;"&amp;$D55,Dataset!J:J,"&gt;="&amp;$C55,Dataset!AH:AH,"&lt;&gt;bono corporativo",Dataset!AH:AH,"&lt;&gt;bono de gobierno",Dataset!AH:AH,"&lt;&gt;deposito")</f>
        <v>0</v>
      </c>
      <c r="O55" s="84">
        <f t="shared" si="2"/>
        <v>0.10444632663578297</v>
      </c>
      <c r="P55" s="82">
        <f>SUMIFS(Dataset!$AK:$AK,Dataset!$F:$F,credito!$D$11,Dataset!$AC:$AC,P$48,Dataset!$J:$J,"&lt;"&amp;$D55,Dataset!J:J,"&gt;="&amp;$C55)</f>
        <v>0</v>
      </c>
      <c r="Q55" s="83">
        <f>SUMIFS(Dataset!$AK:$AK,Dataset!$F:$F,credito!$D$11,Dataset!$AC:$AC,Q$48,Dataset!$J:$J,"&lt;"&amp;$D55,Dataset!J:J,"&gt;="&amp;$C55)</f>
        <v>0</v>
      </c>
      <c r="R55" s="83">
        <f>SUMIFS(Dataset!$AK:$AK,Dataset!$F:$F,credito!$D$11,Dataset!$AC:$AC,R$48,Dataset!$J:$J,"&lt;"&amp;$D55,Dataset!J:J,"&gt;="&amp;$C55)</f>
        <v>0</v>
      </c>
      <c r="S55" s="83">
        <f>SUMIFS(Dataset!$AK:$AK,Dataset!$F:$F,credito!$D$11,Dataset!$AC:$AC,S$48,Dataset!$J:$J,"&lt;"&amp;$D55,Dataset!J:J,"&gt;="&amp;$C55)</f>
        <v>0</v>
      </c>
      <c r="T55" s="83">
        <f>SUMIFS(Dataset!$AK:$AK,Dataset!$F:$F,credito!$D$11,Dataset!$AC:$AC,T$48,Dataset!$J:$J,"&lt;"&amp;$D55,Dataset!J:J,"&gt;="&amp;$C55)</f>
        <v>1.5620834085629875E-2</v>
      </c>
      <c r="U55" s="83">
        <f>SUMIFS(Dataset!$AK:$AK,Dataset!$F:$F,credito!$D$11,Dataset!$AC:$AC,"A",Dataset!$J:$J,"&lt;"&amp;$D55,Dataset!$J:$J,"&gt;="&amp;$C55)+SUMIFS(Dataset!$AK:$AK,Dataset!$F:$F,credito!$D$11,Dataset!$AC:$AC,"A-",Dataset!$J:$J,"&lt;"&amp;$D55,Dataset!$J:$J,"&gt;="&amp;$C55)+SUMIFS(Dataset!$AK:$AK,Dataset!$F:$F,credito!$D$11,Dataset!$AC:$AC,"A+",Dataset!$J:$J,"&lt;"&amp;$D55,Dataset!$J:$J,"&gt;="&amp;$C55)</f>
        <v>7.4302351071444672E-2</v>
      </c>
      <c r="V55" s="83">
        <f>SUMIFS(Dataset!$AK:$AK,Dataset!$F:$F,credito!$D$11,Dataset!$AC:$AC,"BBB",Dataset!$J:$J,"&lt;"&amp;$D55,Dataset!$J:$J,"&gt;="&amp;$C55)+SUMIFS(Dataset!$AK:$AK,Dataset!$F:$F,credito!$D$11,Dataset!$AC:$AC,"BBB-",Dataset!$J:$J,"&lt;"&amp;$D55,Dataset!$J:$J,"&gt;="&amp;$C55)+SUMIFS(Dataset!$AK:$AK,Dataset!$F:$F,credito!$D$11,Dataset!$AC:$AC,"BBB+",Dataset!$J:$J,"&lt;"&amp;$D55,Dataset!$J:$J,"&gt;="&amp;$C55)</f>
        <v>1.4523141478708427E-2</v>
      </c>
      <c r="W55" s="83">
        <f>SUMIFS(Dataset!$AK:$AK,Dataset!$F:$F,credito!$D$11,Dataset!$J:$J,"&lt;"&amp;$D55,Dataset!$J:$J,"&gt;="&amp;$C55,Dataset!$AC:$AC,"&lt;&gt;N-1+",Dataset!$AC:$AC,"&lt;&gt;*AA*",Dataset!$AC:$AC,"&lt;&gt;*AAA*",Dataset!$AC:$AC,"&lt;&gt;A",Dataset!$AC:$AC,"&lt;&gt;A-",Dataset!$AC:$AC,"&lt;&gt;A+",Dataset!$AC:$AC,"&lt;&gt;*BBB*")</f>
        <v>0</v>
      </c>
      <c r="X55" s="84">
        <f t="shared" si="3"/>
        <v>0.10444632663578297</v>
      </c>
      <c r="Y55" s="85">
        <f>10*SUMIFS(Dataset!$H:$H,Dataset!$F:$F,credito!$D$11,Dataset!AH:AH,"deposito",Dataset!T:T,"$",Dataset!$J:$J,"&lt;"&amp;$D55,Dataset!J:J,"&gt;="&amp;$C55)</f>
        <v>0</v>
      </c>
      <c r="Z55" s="86">
        <f>10*SUMIFS(Dataset!$H:$H,Dataset!$F:$F,credito!$D$11,Dataset!AH:AH,"deposito",Dataset!T:T,"UF",Dataset!$J:$J,"&lt;"&amp;$D55,Dataset!J:J,"&gt;="&amp;$C55)</f>
        <v>0</v>
      </c>
      <c r="AA55" s="86">
        <f>10*SUMIFS(Dataset!$H:$H,Dataset!$F:$F,credito!$D$11,Dataset!AH:AH,"bono de gobierno",Dataset!T:T,"$",Dataset!$J:$J,"&lt;"&amp;$D55,Dataset!J:J,"&gt;="&amp;$C55)</f>
        <v>0</v>
      </c>
      <c r="AB55" s="86">
        <f>10*SUMIFS(Dataset!$H:$H,Dataset!$F:$F,credito!$D$11,Dataset!AH:AH,"bono de gobierno",Dataset!T:T,"uf",Dataset!$J:$J,"&lt;"&amp;$D55,Dataset!J:J,"&gt;="&amp;$C55)</f>
        <v>0</v>
      </c>
      <c r="AC55" s="86">
        <f>10*SUMIFS(Dataset!$H:$H,Dataset!$F:$F,credito!$D$11,Dataset!AH:AH,"bono de gobierno",Dataset!T:T,"eu",Dataset!$J:$J,"&lt;"&amp;$D55,Dataset!J:J,"&gt;="&amp;$C55)</f>
        <v>0</v>
      </c>
      <c r="AD55" s="86">
        <f>10*SUMIFS(Dataset!$H:$H,Dataset!$F:$F,credito!$D$11,Dataset!AH:AH,"bono de gobierno",Dataset!T:T,"mx",Dataset!$J:$J,"&lt;"&amp;$D55,Dataset!J:J,"&gt;="&amp;$C55)</f>
        <v>0</v>
      </c>
      <c r="AE55" s="86">
        <f>10*SUMIFS(Dataset!$H:$H,Dataset!$F:$F,credito!$D$11,Dataset!AH:AH,"bono corporativo",Dataset!T:T,"$",Dataset!$J:$J,"&lt;"&amp;$D55,Dataset!J:J,"&gt;="&amp;$C55)</f>
        <v>0</v>
      </c>
      <c r="AF55" s="86">
        <f>10*SUMIFS(Dataset!$H:$H,Dataset!$F:$F,credito!$D$11,Dataset!AH:AH,"bono corporativo",Dataset!T:T,"uf",Dataset!$J:$J,"&lt;"&amp;$D55,Dataset!J:J,"&gt;="&amp;$C55)</f>
        <v>5.8963988266297829</v>
      </c>
      <c r="AG55" s="86">
        <f>10*SUMIFS(Dataset!$H:$H,Dataset!$F:$F,credito!$D$11,Dataset!AH:AH,"bono corporativo",Dataset!T:T,"us$",Dataset!$J:$J,"&lt;"&amp;$D55,Dataset!J:J,"&gt;="&amp;$C55)</f>
        <v>0.191278031111145</v>
      </c>
      <c r="AH55" s="86">
        <f>10*SUMIFS(Dataset!H:H,Dataset!F:F,credito!$D$11,Dataset!J:J,"&lt;"&amp;$D78,Dataset!J:J,"&gt;="&amp;$C78,Dataset!AH:AH,"&lt;&gt;bono corporativo",Dataset!AH:AH,"&lt;&gt;bono de gobierno",Dataset!AH:AH,"&lt;&gt;deposito")</f>
        <v>0</v>
      </c>
      <c r="AI55" s="87">
        <f t="shared" si="4"/>
        <v>6.0876768577409281</v>
      </c>
    </row>
    <row r="56" spans="3:35" ht="33" customHeight="1" x14ac:dyDescent="0.3">
      <c r="C56" s="61">
        <v>6.5</v>
      </c>
      <c r="D56" s="81">
        <v>7.5</v>
      </c>
      <c r="E56" s="82">
        <f>SUMIFS(Dataset!AK:AK,Dataset!F:F,credito!$D$11,Dataset!AH:AH,"deposito",Dataset!T:T,"$",Dataset!J:J,"&lt;"&amp;$D56,Dataset!J:J,"&gt;="&amp;$C56)</f>
        <v>0</v>
      </c>
      <c r="F56" s="83">
        <f>SUMIFS(Dataset!AK:AK,Dataset!F:F,credito!$D$11,Dataset!AH:AH,"deposito",Dataset!T:T,"UF",Dataset!J:J,"&lt;"&amp;$D56,Dataset!J:J,"&gt;="&amp;$C56)</f>
        <v>0</v>
      </c>
      <c r="G56" s="83">
        <f>SUMIFS(Dataset!AK:AK,Dataset!F:F,credito!$D$11,Dataset!AH:AH,"bono de gobierno",Dataset!T:T,"$",Dataset!J:J,"&lt;"&amp;$D56,Dataset!J:J,"&gt;="&amp;$C56)</f>
        <v>0</v>
      </c>
      <c r="H56" s="83">
        <f>SUMIFS(Dataset!AK:AK,Dataset!F:F,credito!$D$11,Dataset!AH:AH,"bono de gobierno",Dataset!T:T,"UF",Dataset!J:J,"&lt;"&amp;$D56,Dataset!J:J,"&gt;="&amp;$C56)</f>
        <v>0</v>
      </c>
      <c r="I56" s="83">
        <f>SUMIFS(Dataset!AK:AK,Dataset!F:F,credito!$D$11,Dataset!AH:AH,"bono de gobierno",Dataset!T:T,"eu",Dataset!J:J,"&lt;"&amp;$D56,Dataset!J:J,"&gt;="&amp;$C56)</f>
        <v>0</v>
      </c>
      <c r="J56" s="83">
        <f>SUMIFS(Dataset!AK:AK,Dataset!F:F,credito!$D$11,Dataset!AH:AH,"bono de gobierno",Dataset!T:T,"mx",Dataset!J:J,"&lt;"&amp;$D56,Dataset!J:J,"&gt;="&amp;$C56)</f>
        <v>0</v>
      </c>
      <c r="K56" s="83">
        <f>SUMIFS(Dataset!AK:AK,Dataset!F:F,credito!$D$11,Dataset!AH:AH,"bono corporativo",Dataset!T:T,"$",Dataset!J:J,"&lt;"&amp;$D56,Dataset!J:J,"&gt;="&amp;$C56)</f>
        <v>0</v>
      </c>
      <c r="L56" s="83">
        <f>SUMIFS(Dataset!AK:AK,Dataset!F:F,credito!$D$11,Dataset!AH:AH,"bono corporativo",Dataset!T:T,"UF",Dataset!J:J,"&lt;"&amp;$D56,Dataset!J:J,"&gt;="&amp;$C56)</f>
        <v>8.4041925559005776E-2</v>
      </c>
      <c r="M56" s="83">
        <f>SUMIFS(Dataset!AK:AK,Dataset!F:F,credito!$D$11,Dataset!AH:AH,"bono corporativo",Dataset!T:T,"US$",Dataset!J:J,"&lt;"&amp;$D56,Dataset!J:J,"&gt;="&amp;$C56)</f>
        <v>0</v>
      </c>
      <c r="N56" s="83">
        <f>SUMIFS(Dataset!AK:AK,Dataset!F:F,credito!$D$11,Dataset!J:J,"&lt;"&amp;$D56,Dataset!J:J,"&gt;="&amp;$C56,Dataset!AH:AH,"&lt;&gt;bono corporativo",Dataset!AH:AH,"&lt;&gt;bono de gobierno",Dataset!AH:AH,"&lt;&gt;deposito")</f>
        <v>0</v>
      </c>
      <c r="O56" s="84">
        <f t="shared" si="2"/>
        <v>8.4041925559005776E-2</v>
      </c>
      <c r="P56" s="82">
        <f>SUMIFS(Dataset!$AK:$AK,Dataset!$F:$F,credito!$D$11,Dataset!$AC:$AC,P$48,Dataset!$J:$J,"&lt;"&amp;$D56,Dataset!J:J,"&gt;="&amp;$C56)</f>
        <v>0</v>
      </c>
      <c r="Q56" s="83">
        <f>SUMIFS(Dataset!$AK:$AK,Dataset!$F:$F,credito!$D$11,Dataset!$AC:$AC,Q$48,Dataset!$J:$J,"&lt;"&amp;$D56,Dataset!J:J,"&gt;="&amp;$C56)</f>
        <v>0</v>
      </c>
      <c r="R56" s="83">
        <f>SUMIFS(Dataset!$AK:$AK,Dataset!$F:$F,credito!$D$11,Dataset!$AC:$AC,R$48,Dataset!$J:$J,"&lt;"&amp;$D56,Dataset!J:J,"&gt;="&amp;$C56)</f>
        <v>0</v>
      </c>
      <c r="S56" s="83">
        <f>SUMIFS(Dataset!$AK:$AK,Dataset!$F:$F,credito!$D$11,Dataset!$AC:$AC,S$48,Dataset!$J:$J,"&lt;"&amp;$D56,Dataset!J:J,"&gt;="&amp;$C56)</f>
        <v>6.4939399649742383E-3</v>
      </c>
      <c r="T56" s="83">
        <f>SUMIFS(Dataset!$AK:$AK,Dataset!$F:$F,credito!$D$11,Dataset!$AC:$AC,T$48,Dataset!$J:$J,"&lt;"&amp;$D56,Dataset!J:J,"&gt;="&amp;$C56)</f>
        <v>5.1202847533662839E-2</v>
      </c>
      <c r="U56" s="83">
        <f>SUMIFS(Dataset!$AK:$AK,Dataset!$F:$F,credito!$D$11,Dataset!$AC:$AC,"A",Dataset!$J:$J,"&lt;"&amp;$D56,Dataset!$J:$J,"&gt;="&amp;$C56)+SUMIFS(Dataset!$AK:$AK,Dataset!$F:$F,credito!$D$11,Dataset!$AC:$AC,"A-",Dataset!$J:$J,"&lt;"&amp;$D56,Dataset!$J:$J,"&gt;="&amp;$C56)+SUMIFS(Dataset!$AK:$AK,Dataset!$F:$F,credito!$D$11,Dataset!$AC:$AC,"A+",Dataset!$J:$J,"&lt;"&amp;$D56,Dataset!$J:$J,"&gt;="&amp;$C56)</f>
        <v>2.6345138060368693E-2</v>
      </c>
      <c r="V56" s="83">
        <f>SUMIFS(Dataset!$AK:$AK,Dataset!$F:$F,credito!$D$11,Dataset!$AC:$AC,"BBB",Dataset!$J:$J,"&lt;"&amp;$D56,Dataset!$J:$J,"&gt;="&amp;$C56)+SUMIFS(Dataset!$AK:$AK,Dataset!$F:$F,credito!$D$11,Dataset!$AC:$AC,"BBB-",Dataset!$J:$J,"&lt;"&amp;$D56,Dataset!$J:$J,"&gt;="&amp;$C56)+SUMIFS(Dataset!$AK:$AK,Dataset!$F:$F,credito!$D$11,Dataset!$AC:$AC,"BBB+",Dataset!$J:$J,"&lt;"&amp;$D56,Dataset!$J:$J,"&gt;="&amp;$C56)</f>
        <v>0</v>
      </c>
      <c r="W56" s="83">
        <f>SUMIFS(Dataset!$AK:$AK,Dataset!$F:$F,credito!$D$11,Dataset!$J:$J,"&lt;"&amp;$D56,Dataset!$J:$J,"&gt;="&amp;$C56,Dataset!$AC:$AC,"&lt;&gt;N-1+",Dataset!$AC:$AC,"&lt;&gt;*AA*",Dataset!$AC:$AC,"&lt;&gt;*AAA*",Dataset!$AC:$AC,"&lt;&gt;A",Dataset!$AC:$AC,"&lt;&gt;A-",Dataset!$AC:$AC,"&lt;&gt;A+",Dataset!$AC:$AC,"&lt;&gt;*BBB*")</f>
        <v>0</v>
      </c>
      <c r="X56" s="84">
        <f t="shared" si="3"/>
        <v>8.4041925559005776E-2</v>
      </c>
      <c r="Y56" s="85">
        <f>10*SUMIFS(Dataset!$H:$H,Dataset!$F:$F,credito!$D$11,Dataset!AH:AH,"deposito",Dataset!T:T,"$",Dataset!$J:$J,"&lt;"&amp;$D56,Dataset!J:J,"&gt;="&amp;$C56)</f>
        <v>0</v>
      </c>
      <c r="Z56" s="86">
        <f>10*SUMIFS(Dataset!$H:$H,Dataset!$F:$F,credito!$D$11,Dataset!AH:AH,"deposito",Dataset!T:T,"UF",Dataset!$J:$J,"&lt;"&amp;$D56,Dataset!J:J,"&gt;="&amp;$C56)</f>
        <v>0</v>
      </c>
      <c r="AA56" s="86">
        <f>10*SUMIFS(Dataset!$H:$H,Dataset!$F:$F,credito!$D$11,Dataset!AH:AH,"bono de gobierno",Dataset!T:T,"$",Dataset!$J:$J,"&lt;"&amp;$D56,Dataset!J:J,"&gt;="&amp;$C56)</f>
        <v>0</v>
      </c>
      <c r="AB56" s="86">
        <f>10*SUMIFS(Dataset!$H:$H,Dataset!$F:$F,credito!$D$11,Dataset!AH:AH,"bono de gobierno",Dataset!T:T,"uf",Dataset!$J:$J,"&lt;"&amp;$D56,Dataset!J:J,"&gt;="&amp;$C56)</f>
        <v>0</v>
      </c>
      <c r="AC56" s="86">
        <f>10*SUMIFS(Dataset!$H:$H,Dataset!$F:$F,credito!$D$11,Dataset!AH:AH,"bono de gobierno",Dataset!T:T,"eu",Dataset!$J:$J,"&lt;"&amp;$D56,Dataset!J:J,"&gt;="&amp;$C56)</f>
        <v>0</v>
      </c>
      <c r="AD56" s="86">
        <f>10*SUMIFS(Dataset!$H:$H,Dataset!$F:$F,credito!$D$11,Dataset!AH:AH,"bono de gobierno",Dataset!T:T,"mx",Dataset!$J:$J,"&lt;"&amp;$D56,Dataset!J:J,"&gt;="&amp;$C56)</f>
        <v>0</v>
      </c>
      <c r="AE56" s="86">
        <f>10*SUMIFS(Dataset!$H:$H,Dataset!$F:$F,credito!$D$11,Dataset!AH:AH,"bono corporativo",Dataset!T:T,"$",Dataset!$J:$J,"&lt;"&amp;$D56,Dataset!J:J,"&gt;="&amp;$C56)</f>
        <v>0</v>
      </c>
      <c r="AF56" s="86">
        <f>10*SUMIFS(Dataset!$H:$H,Dataset!$F:$F,credito!$D$11,Dataset!AH:AH,"bono corporativo",Dataset!T:T,"uf",Dataset!$J:$J,"&lt;"&amp;$D56,Dataset!J:J,"&gt;="&amp;$C56)</f>
        <v>5.8327873647395698</v>
      </c>
      <c r="AG56" s="86">
        <f>10*SUMIFS(Dataset!$H:$H,Dataset!$F:$F,credito!$D$11,Dataset!AH:AH,"bono corporativo",Dataset!T:T,"us$",Dataset!$J:$J,"&lt;"&amp;$D56,Dataset!J:J,"&gt;="&amp;$C56)</f>
        <v>0</v>
      </c>
      <c r="AH56" s="86">
        <f>10*SUMIFS(Dataset!H:H,Dataset!F:F,credito!$D$11,Dataset!J:J,"&lt;"&amp;$D79,Dataset!J:J,"&gt;="&amp;$C79,Dataset!AH:AH,"&lt;&gt;bono corporativo",Dataset!AH:AH,"&lt;&gt;bono de gobierno",Dataset!AH:AH,"&lt;&gt;deposito")</f>
        <v>0</v>
      </c>
      <c r="AI56" s="87">
        <f t="shared" si="4"/>
        <v>5.8327873647395698</v>
      </c>
    </row>
    <row r="57" spans="3:35" ht="33" customHeight="1" x14ac:dyDescent="0.3">
      <c r="C57" s="61">
        <v>7.5</v>
      </c>
      <c r="D57" s="81">
        <v>8.5</v>
      </c>
      <c r="E57" s="82">
        <f>SUMIFS(Dataset!AK:AK,Dataset!F:F,credito!$D$11,Dataset!AH:AH,"deposito",Dataset!T:T,"$",Dataset!J:J,"&lt;"&amp;$D57,Dataset!J:J,"&gt;="&amp;$C57)</f>
        <v>0</v>
      </c>
      <c r="F57" s="83">
        <f>SUMIFS(Dataset!AK:AK,Dataset!F:F,credito!$D$11,Dataset!AH:AH,"deposito",Dataset!T:T,"UF",Dataset!J:J,"&lt;"&amp;$D57,Dataset!J:J,"&gt;="&amp;$C57)</f>
        <v>0</v>
      </c>
      <c r="G57" s="83">
        <f>SUMIFS(Dataset!AK:AK,Dataset!F:F,credito!$D$11,Dataset!AH:AH,"bono de gobierno",Dataset!T:T,"$",Dataset!J:J,"&lt;"&amp;$D57,Dataset!J:J,"&gt;="&amp;$C57)</f>
        <v>0</v>
      </c>
      <c r="H57" s="83">
        <f>SUMIFS(Dataset!AK:AK,Dataset!F:F,credito!$D$11,Dataset!AH:AH,"bono de gobierno",Dataset!T:T,"UF",Dataset!J:J,"&lt;"&amp;$D57,Dataset!J:J,"&gt;="&amp;$C57)</f>
        <v>6.8975333591311987E-3</v>
      </c>
      <c r="I57" s="83">
        <f>SUMIFS(Dataset!AK:AK,Dataset!F:F,credito!$D$11,Dataset!AH:AH,"bono de gobierno",Dataset!T:T,"eu",Dataset!J:J,"&lt;"&amp;$D57,Dataset!J:J,"&gt;="&amp;$C57)</f>
        <v>0</v>
      </c>
      <c r="J57" s="83">
        <f>SUMIFS(Dataset!AK:AK,Dataset!F:F,credito!$D$11,Dataset!AH:AH,"bono de gobierno",Dataset!T:T,"mx",Dataset!J:J,"&lt;"&amp;$D57,Dataset!J:J,"&gt;="&amp;$C57)</f>
        <v>0</v>
      </c>
      <c r="K57" s="83">
        <f>SUMIFS(Dataset!AK:AK,Dataset!F:F,credito!$D$11,Dataset!AH:AH,"bono corporativo",Dataset!T:T,"$",Dataset!J:J,"&lt;"&amp;$D57,Dataset!J:J,"&gt;="&amp;$C57)</f>
        <v>0</v>
      </c>
      <c r="L57" s="83">
        <f>SUMIFS(Dataset!AK:AK,Dataset!F:F,credito!$D$11,Dataset!AH:AH,"bono corporativo",Dataset!T:T,"UF",Dataset!J:J,"&lt;"&amp;$D57,Dataset!J:J,"&gt;="&amp;$C57)</f>
        <v>8.2288954393849506E-2</v>
      </c>
      <c r="M57" s="83">
        <f>SUMIFS(Dataset!AK:AK,Dataset!F:F,credito!$D$11,Dataset!AH:AH,"bono corporativo",Dataset!T:T,"US$",Dataset!J:J,"&lt;"&amp;$D57,Dataset!J:J,"&gt;="&amp;$C57)</f>
        <v>0</v>
      </c>
      <c r="N57" s="83">
        <f>SUMIFS(Dataset!AK:AK,Dataset!F:F,credito!$D$11,Dataset!J:J,"&lt;"&amp;$D57,Dataset!J:J,"&gt;="&amp;$C57,Dataset!AH:AH,"&lt;&gt;bono corporativo",Dataset!AH:AH,"&lt;&gt;bono de gobierno",Dataset!AH:AH,"&lt;&gt;deposito")</f>
        <v>0</v>
      </c>
      <c r="O57" s="84">
        <f t="shared" si="2"/>
        <v>8.91864877529807E-2</v>
      </c>
      <c r="P57" s="82">
        <f>SUMIFS(Dataset!$AK:$AK,Dataset!$F:$F,credito!$D$11,Dataset!$AC:$AC,P$48,Dataset!$J:$J,"&lt;"&amp;$D57,Dataset!J:J,"&gt;="&amp;$C57)</f>
        <v>0</v>
      </c>
      <c r="Q57" s="83">
        <f>SUMIFS(Dataset!$AK:$AK,Dataset!$F:$F,credito!$D$11,Dataset!$AC:$AC,Q$48,Dataset!$J:$J,"&lt;"&amp;$D57,Dataset!J:J,"&gt;="&amp;$C57)</f>
        <v>6.8975333591311987E-3</v>
      </c>
      <c r="R57" s="83">
        <f>SUMIFS(Dataset!$AK:$AK,Dataset!$F:$F,credito!$D$11,Dataset!$AC:$AC,R$48,Dataset!$J:$J,"&lt;"&amp;$D57,Dataset!J:J,"&gt;="&amp;$C57)</f>
        <v>0</v>
      </c>
      <c r="S57" s="83">
        <f>SUMIFS(Dataset!$AK:$AK,Dataset!$F:$F,credito!$D$11,Dataset!$AC:$AC,S$48,Dataset!$J:$J,"&lt;"&amp;$D57,Dataset!J:J,"&gt;="&amp;$C57)</f>
        <v>0</v>
      </c>
      <c r="T57" s="83">
        <f>SUMIFS(Dataset!$AK:$AK,Dataset!$F:$F,credito!$D$11,Dataset!$AC:$AC,T$48,Dataset!$J:$J,"&lt;"&amp;$D57,Dataset!J:J,"&gt;="&amp;$C57)</f>
        <v>4.4481783911955383E-2</v>
      </c>
      <c r="U57" s="83">
        <f>SUMIFS(Dataset!$AK:$AK,Dataset!$F:$F,credito!$D$11,Dataset!$AC:$AC,"A",Dataset!$J:$J,"&lt;"&amp;$D57,Dataset!$J:$J,"&gt;="&amp;$C57)+SUMIFS(Dataset!$AK:$AK,Dataset!$F:$F,credito!$D$11,Dataset!$AC:$AC,"A-",Dataset!$J:$J,"&lt;"&amp;$D57,Dataset!$J:$J,"&gt;="&amp;$C57)+SUMIFS(Dataset!$AK:$AK,Dataset!$F:$F,credito!$D$11,Dataset!$AC:$AC,"A+",Dataset!$J:$J,"&lt;"&amp;$D57,Dataset!$J:$J,"&gt;="&amp;$C57)</f>
        <v>2.7021152012438876E-2</v>
      </c>
      <c r="V57" s="83">
        <f>SUMIFS(Dataset!$AK:$AK,Dataset!$F:$F,credito!$D$11,Dataset!$AC:$AC,"BBB",Dataset!$J:$J,"&lt;"&amp;$D57,Dataset!$J:$J,"&gt;="&amp;$C57)+SUMIFS(Dataset!$AK:$AK,Dataset!$F:$F,credito!$D$11,Dataset!$AC:$AC,"BBB-",Dataset!$J:$J,"&lt;"&amp;$D57,Dataset!$J:$J,"&gt;="&amp;$C57)+SUMIFS(Dataset!$AK:$AK,Dataset!$F:$F,credito!$D$11,Dataset!$AC:$AC,"BBB+",Dataset!$J:$J,"&lt;"&amp;$D57,Dataset!$J:$J,"&gt;="&amp;$C57)</f>
        <v>1.0786018469455259E-2</v>
      </c>
      <c r="W57" s="83">
        <f>SUMIFS(Dataset!$AK:$AK,Dataset!$F:$F,credito!$D$11,Dataset!$J:$J,"&lt;"&amp;$D57,Dataset!$J:$J,"&gt;="&amp;$C57,Dataset!$AC:$AC,"&lt;&gt;N-1+",Dataset!$AC:$AC,"&lt;&gt;*AA*",Dataset!$AC:$AC,"&lt;&gt;*AAA*",Dataset!$AC:$AC,"&lt;&gt;A",Dataset!$AC:$AC,"&lt;&gt;A-",Dataset!$AC:$AC,"&lt;&gt;A+",Dataset!$AC:$AC,"&lt;&gt;*BBB*")</f>
        <v>0</v>
      </c>
      <c r="X57" s="84">
        <f t="shared" si="3"/>
        <v>8.9186487752980714E-2</v>
      </c>
      <c r="Y57" s="85">
        <f>10*SUMIFS(Dataset!$H:$H,Dataset!$F:$F,credito!$D$11,Dataset!AH:AH,"deposito",Dataset!T:T,"$",Dataset!$J:$J,"&lt;"&amp;$D57,Dataset!J:J,"&gt;="&amp;$C57)</f>
        <v>0</v>
      </c>
      <c r="Z57" s="86">
        <f>10*SUMIFS(Dataset!$H:$H,Dataset!$F:$F,credito!$D$11,Dataset!AH:AH,"deposito",Dataset!T:T,"UF",Dataset!$J:$J,"&lt;"&amp;$D57,Dataset!J:J,"&gt;="&amp;$C57)</f>
        <v>0</v>
      </c>
      <c r="AA57" s="86">
        <f>10*SUMIFS(Dataset!$H:$H,Dataset!$F:$F,credito!$D$11,Dataset!AH:AH,"bono de gobierno",Dataset!T:T,"$",Dataset!$J:$J,"&lt;"&amp;$D57,Dataset!J:J,"&gt;="&amp;$C57)</f>
        <v>0</v>
      </c>
      <c r="AB57" s="86">
        <f>10*SUMIFS(Dataset!$H:$H,Dataset!$F:$F,credito!$D$11,Dataset!AH:AH,"bono de gobierno",Dataset!T:T,"uf",Dataset!$J:$J,"&lt;"&amp;$D57,Dataset!J:J,"&gt;="&amp;$C57)</f>
        <v>0.52076376861440554</v>
      </c>
      <c r="AC57" s="86">
        <f>10*SUMIFS(Dataset!$H:$H,Dataset!$F:$F,credito!$D$11,Dataset!AH:AH,"bono de gobierno",Dataset!T:T,"eu",Dataset!$J:$J,"&lt;"&amp;$D57,Dataset!J:J,"&gt;="&amp;$C57)</f>
        <v>0</v>
      </c>
      <c r="AD57" s="86">
        <f>10*SUMIFS(Dataset!$H:$H,Dataset!$F:$F,credito!$D$11,Dataset!AH:AH,"bono de gobierno",Dataset!T:T,"mx",Dataset!$J:$J,"&lt;"&amp;$D57,Dataset!J:J,"&gt;="&amp;$C57)</f>
        <v>0</v>
      </c>
      <c r="AE57" s="86">
        <f>10*SUMIFS(Dataset!$H:$H,Dataset!$F:$F,credito!$D$11,Dataset!AH:AH,"bono corporativo",Dataset!T:T,"$",Dataset!$J:$J,"&lt;"&amp;$D57,Dataset!J:J,"&gt;="&amp;$C57)</f>
        <v>0</v>
      </c>
      <c r="AF57" s="86">
        <f>10*SUMIFS(Dataset!$H:$H,Dataset!$F:$F,credito!$D$11,Dataset!AH:AH,"bono corporativo",Dataset!T:T,"uf",Dataset!$J:$J,"&lt;"&amp;$D57,Dataset!J:J,"&gt;="&amp;$C57)</f>
        <v>6.5883483731422317</v>
      </c>
      <c r="AG57" s="86">
        <f>10*SUMIFS(Dataset!$H:$H,Dataset!$F:$F,credito!$D$11,Dataset!AH:AH,"bono corporativo",Dataset!T:T,"us$",Dataset!$J:$J,"&lt;"&amp;$D57,Dataset!J:J,"&gt;="&amp;$C57)</f>
        <v>0</v>
      </c>
      <c r="AH57" s="86">
        <f>10*SUMIFS(Dataset!H:H,Dataset!F:F,credito!$D$11,Dataset!J:J,"&lt;"&amp;$D80,Dataset!J:J,"&gt;="&amp;$C80,Dataset!AH:AH,"&lt;&gt;bono corporativo",Dataset!AH:AH,"&lt;&gt;bono de gobierno",Dataset!AH:AH,"&lt;&gt;deposito")</f>
        <v>0</v>
      </c>
      <c r="AI57" s="87">
        <f t="shared" si="4"/>
        <v>7.1091121417566372</v>
      </c>
    </row>
    <row r="58" spans="3:35" ht="33" customHeight="1" x14ac:dyDescent="0.3">
      <c r="C58" s="61">
        <v>8.5</v>
      </c>
      <c r="D58" s="81">
        <v>9.5</v>
      </c>
      <c r="E58" s="82">
        <f>SUMIFS(Dataset!AK:AK,Dataset!F:F,credito!$D$11,Dataset!AH:AH,"deposito",Dataset!T:T,"$",Dataset!J:J,"&lt;"&amp;$D58,Dataset!J:J,"&gt;="&amp;$C58)</f>
        <v>0</v>
      </c>
      <c r="F58" s="83">
        <f>SUMIFS(Dataset!AK:AK,Dataset!F:F,credito!$D$11,Dataset!AH:AH,"deposito",Dataset!T:T,"UF",Dataset!J:J,"&lt;"&amp;$D58,Dataset!J:J,"&gt;="&amp;$C58)</f>
        <v>0</v>
      </c>
      <c r="G58" s="83">
        <f>SUMIFS(Dataset!AK:AK,Dataset!F:F,credito!$D$11,Dataset!AH:AH,"bono de gobierno",Dataset!T:T,"$",Dataset!J:J,"&lt;"&amp;$D58,Dataset!J:J,"&gt;="&amp;$C58)</f>
        <v>0</v>
      </c>
      <c r="H58" s="83">
        <f>SUMIFS(Dataset!AK:AK,Dataset!F:F,credito!$D$11,Dataset!AH:AH,"bono de gobierno",Dataset!T:T,"UF",Dataset!J:J,"&lt;"&amp;$D58,Dataset!J:J,"&gt;="&amp;$C58)</f>
        <v>0</v>
      </c>
      <c r="I58" s="83">
        <f>SUMIFS(Dataset!AK:AK,Dataset!F:F,credito!$D$11,Dataset!AH:AH,"bono de gobierno",Dataset!T:T,"eu",Dataset!J:J,"&lt;"&amp;$D58,Dataset!J:J,"&gt;="&amp;$C58)</f>
        <v>0</v>
      </c>
      <c r="J58" s="83">
        <f>SUMIFS(Dataset!AK:AK,Dataset!F:F,credito!$D$11,Dataset!AH:AH,"bono de gobierno",Dataset!T:T,"mx",Dataset!J:J,"&lt;"&amp;$D58,Dataset!J:J,"&gt;="&amp;$C58)</f>
        <v>0</v>
      </c>
      <c r="K58" s="83">
        <f>SUMIFS(Dataset!AK:AK,Dataset!F:F,credito!$D$11,Dataset!AH:AH,"bono corporativo",Dataset!T:T,"$",Dataset!J:J,"&lt;"&amp;$D58,Dataset!J:J,"&gt;="&amp;$C58)</f>
        <v>1.4197410298432741E-2</v>
      </c>
      <c r="L58" s="83">
        <f>SUMIFS(Dataset!AK:AK,Dataset!F:F,credito!$D$11,Dataset!AH:AH,"bono corporativo",Dataset!T:T,"UF",Dataset!J:J,"&lt;"&amp;$D58,Dataset!J:J,"&gt;="&amp;$C58)</f>
        <v>5.1250003767328037E-2</v>
      </c>
      <c r="M58" s="83">
        <f>SUMIFS(Dataset!AK:AK,Dataset!F:F,credito!$D$11,Dataset!AH:AH,"bono corporativo",Dataset!T:T,"US$",Dataset!J:J,"&lt;"&amp;$D58,Dataset!J:J,"&gt;="&amp;$C58)</f>
        <v>0</v>
      </c>
      <c r="N58" s="83">
        <f>SUMIFS(Dataset!AK:AK,Dataset!F:F,credito!$D$11,Dataset!J:J,"&lt;"&amp;$D58,Dataset!J:J,"&gt;="&amp;$C58,Dataset!AH:AH,"&lt;&gt;bono corporativo",Dataset!AH:AH,"&lt;&gt;bono de gobierno",Dataset!AH:AH,"&lt;&gt;deposito")</f>
        <v>0</v>
      </c>
      <c r="O58" s="84">
        <f t="shared" si="2"/>
        <v>6.5447414065760781E-2</v>
      </c>
      <c r="P58" s="82">
        <f>SUMIFS(Dataset!$AK:$AK,Dataset!$F:$F,credito!$D$11,Dataset!$AC:$AC,P$48,Dataset!$J:$J,"&lt;"&amp;$D58,Dataset!J:J,"&gt;="&amp;$C58)</f>
        <v>0</v>
      </c>
      <c r="Q58" s="83">
        <f>SUMIFS(Dataset!$AK:$AK,Dataset!$F:$F,credito!$D$11,Dataset!$AC:$AC,Q$48,Dataset!$J:$J,"&lt;"&amp;$D58,Dataset!J:J,"&gt;="&amp;$C58)</f>
        <v>0</v>
      </c>
      <c r="R58" s="83">
        <f>SUMIFS(Dataset!$AK:$AK,Dataset!$F:$F,credito!$D$11,Dataset!$AC:$AC,R$48,Dataset!$J:$J,"&lt;"&amp;$D58,Dataset!J:J,"&gt;="&amp;$C58)</f>
        <v>0</v>
      </c>
      <c r="S58" s="83">
        <f>SUMIFS(Dataset!$AK:$AK,Dataset!$F:$F,credito!$D$11,Dataset!$AC:$AC,S$48,Dataset!$J:$J,"&lt;"&amp;$D58,Dataset!J:J,"&gt;="&amp;$C58)</f>
        <v>6.0264127259886105E-3</v>
      </c>
      <c r="T58" s="83">
        <f>SUMIFS(Dataset!$AK:$AK,Dataset!$F:$F,credito!$D$11,Dataset!$AC:$AC,T$48,Dataset!$J:$J,"&lt;"&amp;$D58,Dataset!J:J,"&gt;="&amp;$C58)</f>
        <v>3.4667555616839665E-2</v>
      </c>
      <c r="U58" s="83">
        <f>SUMIFS(Dataset!$AK:$AK,Dataset!$F:$F,credito!$D$11,Dataset!$AC:$AC,"A",Dataset!$J:$J,"&lt;"&amp;$D58,Dataset!$J:$J,"&gt;="&amp;$C58)+SUMIFS(Dataset!$AK:$AK,Dataset!$F:$F,credito!$D$11,Dataset!$AC:$AC,"A-",Dataset!$J:$J,"&lt;"&amp;$D58,Dataset!$J:$J,"&gt;="&amp;$C58)+SUMIFS(Dataset!$AK:$AK,Dataset!$F:$F,credito!$D$11,Dataset!$AC:$AC,"A+",Dataset!$J:$J,"&lt;"&amp;$D58,Dataset!$J:$J,"&gt;="&amp;$C58)</f>
        <v>2.4753445722932504E-2</v>
      </c>
      <c r="V58" s="83">
        <f>SUMIFS(Dataset!$AK:$AK,Dataset!$F:$F,credito!$D$11,Dataset!$AC:$AC,"BBB",Dataset!$J:$J,"&lt;"&amp;$D58,Dataset!$J:$J,"&gt;="&amp;$C58)+SUMIFS(Dataset!$AK:$AK,Dataset!$F:$F,credito!$D$11,Dataset!$AC:$AC,"BBB-",Dataset!$J:$J,"&lt;"&amp;$D58,Dataset!$J:$J,"&gt;="&amp;$C58)+SUMIFS(Dataset!$AK:$AK,Dataset!$F:$F,credito!$D$11,Dataset!$AC:$AC,"BBB+",Dataset!$J:$J,"&lt;"&amp;$D58,Dataset!$J:$J,"&gt;="&amp;$C58)</f>
        <v>0</v>
      </c>
      <c r="W58" s="83">
        <f>SUMIFS(Dataset!$AK:$AK,Dataset!$F:$F,credito!$D$11,Dataset!$J:$J,"&lt;"&amp;$D58,Dataset!$J:$J,"&gt;="&amp;$C58,Dataset!$AC:$AC,"&lt;&gt;N-1+",Dataset!$AC:$AC,"&lt;&gt;*AA*",Dataset!$AC:$AC,"&lt;&gt;*AAA*",Dataset!$AC:$AC,"&lt;&gt;A",Dataset!$AC:$AC,"&lt;&gt;A-",Dataset!$AC:$AC,"&lt;&gt;A+",Dataset!$AC:$AC,"&lt;&gt;*BBB*")</f>
        <v>0</v>
      </c>
      <c r="X58" s="84">
        <f t="shared" si="3"/>
        <v>6.5447414065760781E-2</v>
      </c>
      <c r="Y58" s="85">
        <f>10*SUMIFS(Dataset!$H:$H,Dataset!$F:$F,credito!$D$11,Dataset!AH:AH,"deposito",Dataset!T:T,"$",Dataset!$J:$J,"&lt;"&amp;$D58,Dataset!J:J,"&gt;="&amp;$C58)</f>
        <v>0</v>
      </c>
      <c r="Z58" s="86">
        <f>10*SUMIFS(Dataset!$H:$H,Dataset!$F:$F,credito!$D$11,Dataset!AH:AH,"deposito",Dataset!T:T,"UF",Dataset!$J:$J,"&lt;"&amp;$D58,Dataset!J:J,"&gt;="&amp;$C58)</f>
        <v>0</v>
      </c>
      <c r="AA58" s="86">
        <f>10*SUMIFS(Dataset!$H:$H,Dataset!$F:$F,credito!$D$11,Dataset!AH:AH,"bono de gobierno",Dataset!T:T,"$",Dataset!$J:$J,"&lt;"&amp;$D58,Dataset!J:J,"&gt;="&amp;$C58)</f>
        <v>0</v>
      </c>
      <c r="AB58" s="86">
        <f>10*SUMIFS(Dataset!$H:$H,Dataset!$F:$F,credito!$D$11,Dataset!AH:AH,"bono de gobierno",Dataset!T:T,"uf",Dataset!$J:$J,"&lt;"&amp;$D58,Dataset!J:J,"&gt;="&amp;$C58)</f>
        <v>0</v>
      </c>
      <c r="AC58" s="86">
        <f>10*SUMIFS(Dataset!$H:$H,Dataset!$F:$F,credito!$D$11,Dataset!AH:AH,"bono de gobierno",Dataset!T:T,"eu",Dataset!$J:$J,"&lt;"&amp;$D58,Dataset!J:J,"&gt;="&amp;$C58)</f>
        <v>0</v>
      </c>
      <c r="AD58" s="86">
        <f>10*SUMIFS(Dataset!$H:$H,Dataset!$F:$F,credito!$D$11,Dataset!AH:AH,"bono de gobierno",Dataset!T:T,"mx",Dataset!$J:$J,"&lt;"&amp;$D58,Dataset!J:J,"&gt;="&amp;$C58)</f>
        <v>0</v>
      </c>
      <c r="AE58" s="86">
        <f>10*SUMIFS(Dataset!$H:$H,Dataset!$F:$F,credito!$D$11,Dataset!AH:AH,"bono corporativo",Dataset!T:T,"$",Dataset!$J:$J,"&lt;"&amp;$D58,Dataset!J:J,"&gt;="&amp;$C58)</f>
        <v>1.2451128831725513</v>
      </c>
      <c r="AF58" s="86">
        <f>10*SUMIFS(Dataset!$H:$H,Dataset!$F:$F,credito!$D$11,Dataset!AH:AH,"bono corporativo",Dataset!T:T,"uf",Dataset!$J:$J,"&lt;"&amp;$D58,Dataset!J:J,"&gt;="&amp;$C58)</f>
        <v>4.5914325022719922</v>
      </c>
      <c r="AG58" s="86">
        <f>10*SUMIFS(Dataset!$H:$H,Dataset!$F:$F,credito!$D$11,Dataset!AH:AH,"bono corporativo",Dataset!T:T,"us$",Dataset!$J:$J,"&lt;"&amp;$D58,Dataset!J:J,"&gt;="&amp;$C58)</f>
        <v>0</v>
      </c>
      <c r="AH58" s="86">
        <f>10*SUMIFS(Dataset!H:H,Dataset!F:F,credito!$D$11,Dataset!J:J,"&lt;"&amp;$D81,Dataset!J:J,"&gt;="&amp;$C81,Dataset!AH:AH,"&lt;&gt;bono corporativo",Dataset!AH:AH,"&lt;&gt;bono de gobierno",Dataset!AH:AH,"&lt;&gt;deposito")</f>
        <v>0</v>
      </c>
      <c r="AI58" s="87">
        <f t="shared" si="4"/>
        <v>5.836545385444543</v>
      </c>
    </row>
    <row r="59" spans="3:35" ht="33" customHeight="1" x14ac:dyDescent="0.3">
      <c r="C59" s="61">
        <v>9.5</v>
      </c>
      <c r="D59" s="81">
        <v>10.5</v>
      </c>
      <c r="E59" s="82">
        <f>SUMIFS(Dataset!AK:AK,Dataset!F:F,credito!$D$11,Dataset!AH:AH,"deposito",Dataset!T:T,"$",Dataset!J:J,"&lt;"&amp;$D59,Dataset!J:J,"&gt;="&amp;$C59)</f>
        <v>0</v>
      </c>
      <c r="F59" s="83">
        <f>SUMIFS(Dataset!AK:AK,Dataset!F:F,credito!$D$11,Dataset!AH:AH,"deposito",Dataset!T:T,"UF",Dataset!J:J,"&lt;"&amp;$D59,Dataset!J:J,"&gt;="&amp;$C59)</f>
        <v>0</v>
      </c>
      <c r="G59" s="83">
        <f>SUMIFS(Dataset!AK:AK,Dataset!F:F,credito!$D$11,Dataset!AH:AH,"bono de gobierno",Dataset!T:T,"$",Dataset!J:J,"&lt;"&amp;$D59,Dataset!J:J,"&gt;="&amp;$C59)</f>
        <v>0</v>
      </c>
      <c r="H59" s="83">
        <f>SUMIFS(Dataset!AK:AK,Dataset!F:F,credito!$D$11,Dataset!AH:AH,"bono de gobierno",Dataset!T:T,"UF",Dataset!J:J,"&lt;"&amp;$D59,Dataset!J:J,"&gt;="&amp;$C59)</f>
        <v>0</v>
      </c>
      <c r="I59" s="83">
        <f>SUMIFS(Dataset!AK:AK,Dataset!F:F,credito!$D$11,Dataset!AH:AH,"bono de gobierno",Dataset!T:T,"eu",Dataset!J:J,"&lt;"&amp;$D59,Dataset!J:J,"&gt;="&amp;$C59)</f>
        <v>0</v>
      </c>
      <c r="J59" s="83">
        <f>SUMIFS(Dataset!AK:AK,Dataset!F:F,credito!$D$11,Dataset!AH:AH,"bono de gobierno",Dataset!T:T,"mx",Dataset!J:J,"&lt;"&amp;$D59,Dataset!J:J,"&gt;="&amp;$C59)</f>
        <v>0</v>
      </c>
      <c r="K59" s="83">
        <f>SUMIFS(Dataset!AK:AK,Dataset!F:F,credito!$D$11,Dataset!AH:AH,"bono corporativo",Dataset!T:T,"$",Dataset!J:J,"&lt;"&amp;$D59,Dataset!J:J,"&gt;="&amp;$C59)</f>
        <v>0</v>
      </c>
      <c r="L59" s="83">
        <f>SUMIFS(Dataset!AK:AK,Dataset!F:F,credito!$D$11,Dataset!AH:AH,"bono corporativo",Dataset!T:T,"UF",Dataset!J:J,"&lt;"&amp;$D59,Dataset!J:J,"&gt;="&amp;$C59)</f>
        <v>2.5783991222382289E-2</v>
      </c>
      <c r="M59" s="83">
        <f>SUMIFS(Dataset!AK:AK,Dataset!F:F,credito!$D$11,Dataset!AH:AH,"bono corporativo",Dataset!T:T,"US$",Dataset!J:J,"&lt;"&amp;$D59,Dataset!J:J,"&gt;="&amp;$C59)</f>
        <v>0</v>
      </c>
      <c r="N59" s="83">
        <f>SUMIFS(Dataset!AK:AK,Dataset!F:F,credito!$D$11,Dataset!J:J,"&lt;"&amp;$D59,Dataset!J:J,"&gt;="&amp;$C59,Dataset!AH:AH,"&lt;&gt;bono corporativo",Dataset!AH:AH,"&lt;&gt;bono de gobierno",Dataset!AH:AH,"&lt;&gt;deposito")</f>
        <v>0</v>
      </c>
      <c r="O59" s="84">
        <f t="shared" si="2"/>
        <v>2.5783991222382289E-2</v>
      </c>
      <c r="P59" s="82">
        <f>SUMIFS(Dataset!$AK:$AK,Dataset!$F:$F,credito!$D$11,Dataset!$AC:$AC,P$48,Dataset!$J:$J,"&lt;"&amp;$D59,Dataset!J:J,"&gt;="&amp;$C59)</f>
        <v>0</v>
      </c>
      <c r="Q59" s="83">
        <f>SUMIFS(Dataset!$AK:$AK,Dataset!$F:$F,credito!$D$11,Dataset!$AC:$AC,Q$48,Dataset!$J:$J,"&lt;"&amp;$D59,Dataset!J:J,"&gt;="&amp;$C59)</f>
        <v>0</v>
      </c>
      <c r="R59" s="83">
        <f>SUMIFS(Dataset!$AK:$AK,Dataset!$F:$F,credito!$D$11,Dataset!$AC:$AC,R$48,Dataset!$J:$J,"&lt;"&amp;$D59,Dataset!J:J,"&gt;="&amp;$C59)</f>
        <v>0</v>
      </c>
      <c r="S59" s="83">
        <f>SUMIFS(Dataset!$AK:$AK,Dataset!$F:$F,credito!$D$11,Dataset!$AC:$AC,S$48,Dataset!$J:$J,"&lt;"&amp;$D59,Dataset!J:J,"&gt;="&amp;$C59)</f>
        <v>5.357456274899872E-3</v>
      </c>
      <c r="T59" s="83">
        <f>SUMIFS(Dataset!$AK:$AK,Dataset!$F:$F,credito!$D$11,Dataset!$AC:$AC,T$48,Dataset!$J:$J,"&lt;"&amp;$D59,Dataset!J:J,"&gt;="&amp;$C59)</f>
        <v>7.8595007023771757E-3</v>
      </c>
      <c r="U59" s="83">
        <f>SUMIFS(Dataset!$AK:$AK,Dataset!$F:$F,credito!$D$11,Dataset!$AC:$AC,"A",Dataset!$J:$J,"&lt;"&amp;$D59,Dataset!$J:$J,"&gt;="&amp;$C59)+SUMIFS(Dataset!$AK:$AK,Dataset!$F:$F,credito!$D$11,Dataset!$AC:$AC,"A-",Dataset!$J:$J,"&lt;"&amp;$D59,Dataset!$J:$J,"&gt;="&amp;$C59)+SUMIFS(Dataset!$AK:$AK,Dataset!$F:$F,credito!$D$11,Dataset!$AC:$AC,"A+",Dataset!$J:$J,"&lt;"&amp;$D59,Dataset!$J:$J,"&gt;="&amp;$C59)</f>
        <v>1.2567034245105243E-2</v>
      </c>
      <c r="V59" s="83">
        <f>SUMIFS(Dataset!$AK:$AK,Dataset!$F:$F,credito!$D$11,Dataset!$AC:$AC,"BBB",Dataset!$J:$J,"&lt;"&amp;$D59,Dataset!$J:$J,"&gt;="&amp;$C59)+SUMIFS(Dataset!$AK:$AK,Dataset!$F:$F,credito!$D$11,Dataset!$AC:$AC,"BBB-",Dataset!$J:$J,"&lt;"&amp;$D59,Dataset!$J:$J,"&gt;="&amp;$C59)+SUMIFS(Dataset!$AK:$AK,Dataset!$F:$F,credito!$D$11,Dataset!$AC:$AC,"BBB+",Dataset!$J:$J,"&lt;"&amp;$D59,Dataset!$J:$J,"&gt;="&amp;$C59)</f>
        <v>0</v>
      </c>
      <c r="W59" s="83">
        <f>SUMIFS(Dataset!$AK:$AK,Dataset!$F:$F,credito!$D$11,Dataset!$J:$J,"&lt;"&amp;$D59,Dataset!$J:$J,"&gt;="&amp;$C59,Dataset!$AC:$AC,"&lt;&gt;N-1+",Dataset!$AC:$AC,"&lt;&gt;*AA*",Dataset!$AC:$AC,"&lt;&gt;*AAA*",Dataset!$AC:$AC,"&lt;&gt;A",Dataset!$AC:$AC,"&lt;&gt;A-",Dataset!$AC:$AC,"&lt;&gt;A+",Dataset!$AC:$AC,"&lt;&gt;*BBB*")</f>
        <v>0</v>
      </c>
      <c r="X59" s="84">
        <f t="shared" si="3"/>
        <v>2.5783991222382292E-2</v>
      </c>
      <c r="Y59" s="85">
        <f>10*SUMIFS(Dataset!$H:$H,Dataset!$F:$F,credito!$D$11,Dataset!AH:AH,"deposito",Dataset!T:T,"$",Dataset!$J:$J,"&lt;"&amp;$D59,Dataset!J:J,"&gt;="&amp;$C59)</f>
        <v>0</v>
      </c>
      <c r="Z59" s="86">
        <f>10*SUMIFS(Dataset!$H:$H,Dataset!$F:$F,credito!$D$11,Dataset!AH:AH,"deposito",Dataset!T:T,"UF",Dataset!$J:$J,"&lt;"&amp;$D59,Dataset!J:J,"&gt;="&amp;$C59)</f>
        <v>0</v>
      </c>
      <c r="AA59" s="86">
        <f>10*SUMIFS(Dataset!$H:$H,Dataset!$F:$F,credito!$D$11,Dataset!AH:AH,"bono de gobierno",Dataset!T:T,"$",Dataset!$J:$J,"&lt;"&amp;$D59,Dataset!J:J,"&gt;="&amp;$C59)</f>
        <v>0</v>
      </c>
      <c r="AB59" s="86">
        <f>10*SUMIFS(Dataset!$H:$H,Dataset!$F:$F,credito!$D$11,Dataset!AH:AH,"bono de gobierno",Dataset!T:T,"uf",Dataset!$J:$J,"&lt;"&amp;$D59,Dataset!J:J,"&gt;="&amp;$C59)</f>
        <v>0</v>
      </c>
      <c r="AC59" s="86">
        <f>10*SUMIFS(Dataset!$H:$H,Dataset!$F:$F,credito!$D$11,Dataset!AH:AH,"bono de gobierno",Dataset!T:T,"eu",Dataset!$J:$J,"&lt;"&amp;$D59,Dataset!J:J,"&gt;="&amp;$C59)</f>
        <v>0</v>
      </c>
      <c r="AD59" s="86">
        <f>10*SUMIFS(Dataset!$H:$H,Dataset!$F:$F,credito!$D$11,Dataset!AH:AH,"bono de gobierno",Dataset!T:T,"mx",Dataset!$J:$J,"&lt;"&amp;$D59,Dataset!J:J,"&gt;="&amp;$C59)</f>
        <v>0</v>
      </c>
      <c r="AE59" s="86">
        <f>10*SUMIFS(Dataset!$H:$H,Dataset!$F:$F,credito!$D$11,Dataset!AH:AH,"bono corporativo",Dataset!T:T,"$",Dataset!$J:$J,"&lt;"&amp;$D59,Dataset!J:J,"&gt;="&amp;$C59)</f>
        <v>0</v>
      </c>
      <c r="AF59" s="86">
        <f>10*SUMIFS(Dataset!$H:$H,Dataset!$F:$F,credito!$D$11,Dataset!AH:AH,"bono corporativo",Dataset!T:T,"uf",Dataset!$J:$J,"&lt;"&amp;$D59,Dataset!J:J,"&gt;="&amp;$C59)</f>
        <v>2.6181639139039103</v>
      </c>
      <c r="AG59" s="86">
        <f>10*SUMIFS(Dataset!$H:$H,Dataset!$F:$F,credito!$D$11,Dataset!AH:AH,"bono corporativo",Dataset!T:T,"us$",Dataset!$J:$J,"&lt;"&amp;$D59,Dataset!J:J,"&gt;="&amp;$C59)</f>
        <v>0</v>
      </c>
      <c r="AH59" s="86">
        <f>10*SUMIFS(Dataset!H:H,Dataset!F:F,credito!$D$11,Dataset!J:J,"&lt;"&amp;$D82,Dataset!J:J,"&gt;="&amp;$C82,Dataset!AH:AH,"&lt;&gt;bono corporativo",Dataset!AH:AH,"&lt;&gt;bono de gobierno",Dataset!AH:AH,"&lt;&gt;deposito")</f>
        <v>0</v>
      </c>
      <c r="AI59" s="87">
        <f t="shared" si="4"/>
        <v>2.6181639139039103</v>
      </c>
    </row>
    <row r="60" spans="3:35" ht="33" customHeight="1" x14ac:dyDescent="0.3">
      <c r="C60" s="61">
        <v>10.5</v>
      </c>
      <c r="D60" s="81">
        <v>11.5</v>
      </c>
      <c r="E60" s="82">
        <f>SUMIFS(Dataset!AK:AK,Dataset!F:F,credito!$D$11,Dataset!AH:AH,"deposito",Dataset!T:T,"$",Dataset!J:J,"&lt;"&amp;$D60,Dataset!J:J,"&gt;="&amp;$C60)</f>
        <v>0</v>
      </c>
      <c r="F60" s="83">
        <f>SUMIFS(Dataset!AK:AK,Dataset!F:F,credito!$D$11,Dataset!AH:AH,"deposito",Dataset!T:T,"UF",Dataset!J:J,"&lt;"&amp;$D60,Dataset!J:J,"&gt;="&amp;$C60)</f>
        <v>0</v>
      </c>
      <c r="G60" s="83">
        <f>SUMIFS(Dataset!AK:AK,Dataset!F:F,credito!$D$11,Dataset!AH:AH,"bono de gobierno",Dataset!T:T,"$",Dataset!J:J,"&lt;"&amp;$D60,Dataset!J:J,"&gt;="&amp;$C60)</f>
        <v>0</v>
      </c>
      <c r="H60" s="83">
        <f>SUMIFS(Dataset!AK:AK,Dataset!F:F,credito!$D$11,Dataset!AH:AH,"bono de gobierno",Dataset!T:T,"UF",Dataset!J:J,"&lt;"&amp;$D60,Dataset!J:J,"&gt;="&amp;$C60)</f>
        <v>0</v>
      </c>
      <c r="I60" s="83">
        <f>SUMIFS(Dataset!AK:AK,Dataset!F:F,credito!$D$11,Dataset!AH:AH,"bono de gobierno",Dataset!T:T,"eu",Dataset!J:J,"&lt;"&amp;$D60,Dataset!J:J,"&gt;="&amp;$C60)</f>
        <v>0</v>
      </c>
      <c r="J60" s="83">
        <f>SUMIFS(Dataset!AK:AK,Dataset!F:F,credito!$D$11,Dataset!AH:AH,"bono de gobierno",Dataset!T:T,"mx",Dataset!J:J,"&lt;"&amp;$D60,Dataset!J:J,"&gt;="&amp;$C60)</f>
        <v>0</v>
      </c>
      <c r="K60" s="83">
        <f>SUMIFS(Dataset!AK:AK,Dataset!F:F,credito!$D$11,Dataset!AH:AH,"bono corporativo",Dataset!T:T,"$",Dataset!J:J,"&lt;"&amp;$D60,Dataset!J:J,"&gt;="&amp;$C60)</f>
        <v>0</v>
      </c>
      <c r="L60" s="83">
        <f>SUMIFS(Dataset!AK:AK,Dataset!F:F,credito!$D$11,Dataset!AH:AH,"bono corporativo",Dataset!T:T,"UF",Dataset!J:J,"&lt;"&amp;$D60,Dataset!J:J,"&gt;="&amp;$C60)</f>
        <v>5.5138416005814615E-2</v>
      </c>
      <c r="M60" s="83">
        <f>SUMIFS(Dataset!AK:AK,Dataset!F:F,credito!$D$11,Dataset!AH:AH,"bono corporativo",Dataset!T:T,"US$",Dataset!J:J,"&lt;"&amp;$D60,Dataset!J:J,"&gt;="&amp;$C60)</f>
        <v>0</v>
      </c>
      <c r="N60" s="83">
        <f>SUMIFS(Dataset!AK:AK,Dataset!F:F,credito!$D$11,Dataset!J:J,"&lt;"&amp;$D60,Dataset!J:J,"&gt;="&amp;$C60,Dataset!AH:AH,"&lt;&gt;bono corporativo",Dataset!AH:AH,"&lt;&gt;bono de gobierno",Dataset!AH:AH,"&lt;&gt;deposito")</f>
        <v>0</v>
      </c>
      <c r="O60" s="84">
        <f t="shared" si="2"/>
        <v>5.5138416005814615E-2</v>
      </c>
      <c r="P60" s="82">
        <f>SUMIFS(Dataset!$AK:$AK,Dataset!$F:$F,credito!$D$11,Dataset!$AC:$AC,P$48,Dataset!$J:$J,"&lt;"&amp;$D60,Dataset!J:J,"&gt;="&amp;$C60)</f>
        <v>0</v>
      </c>
      <c r="Q60" s="83">
        <f>SUMIFS(Dataset!$AK:$AK,Dataset!$F:$F,credito!$D$11,Dataset!$AC:$AC,Q$48,Dataset!$J:$J,"&lt;"&amp;$D60,Dataset!J:J,"&gt;="&amp;$C60)</f>
        <v>0</v>
      </c>
      <c r="R60" s="83">
        <f>SUMIFS(Dataset!$AK:$AK,Dataset!$F:$F,credito!$D$11,Dataset!$AC:$AC,R$48,Dataset!$J:$J,"&lt;"&amp;$D60,Dataset!J:J,"&gt;="&amp;$C60)</f>
        <v>0</v>
      </c>
      <c r="S60" s="83">
        <f>SUMIFS(Dataset!$AK:$AK,Dataset!$F:$F,credito!$D$11,Dataset!$AC:$AC,S$48,Dataset!$J:$J,"&lt;"&amp;$D60,Dataset!J:J,"&gt;="&amp;$C60)</f>
        <v>0</v>
      </c>
      <c r="T60" s="83">
        <f>SUMIFS(Dataset!$AK:$AK,Dataset!$F:$F,credito!$D$11,Dataset!$AC:$AC,T$48,Dataset!$J:$J,"&lt;"&amp;$D60,Dataset!J:J,"&gt;="&amp;$C60)</f>
        <v>4.7780639313262496E-3</v>
      </c>
      <c r="U60" s="83">
        <f>SUMIFS(Dataset!$AK:$AK,Dataset!$F:$F,credito!$D$11,Dataset!$AC:$AC,"A",Dataset!$J:$J,"&lt;"&amp;$D60,Dataset!$J:$J,"&gt;="&amp;$C60)+SUMIFS(Dataset!$AK:$AK,Dataset!$F:$F,credito!$D$11,Dataset!$AC:$AC,"A-",Dataset!$J:$J,"&lt;"&amp;$D60,Dataset!$J:$J,"&gt;="&amp;$C60)+SUMIFS(Dataset!$AK:$AK,Dataset!$F:$F,credito!$D$11,Dataset!$AC:$AC,"A+",Dataset!$J:$J,"&lt;"&amp;$D60,Dataset!$J:$J,"&gt;="&amp;$C60)</f>
        <v>5.0360352074488371E-2</v>
      </c>
      <c r="V60" s="83">
        <f>SUMIFS(Dataset!$AK:$AK,Dataset!$F:$F,credito!$D$11,Dataset!$AC:$AC,"BBB",Dataset!$J:$J,"&lt;"&amp;$D60,Dataset!$J:$J,"&gt;="&amp;$C60)+SUMIFS(Dataset!$AK:$AK,Dataset!$F:$F,credito!$D$11,Dataset!$AC:$AC,"BBB-",Dataset!$J:$J,"&lt;"&amp;$D60,Dataset!$J:$J,"&gt;="&amp;$C60)+SUMIFS(Dataset!$AK:$AK,Dataset!$F:$F,credito!$D$11,Dataset!$AC:$AC,"BBB+",Dataset!$J:$J,"&lt;"&amp;$D60,Dataset!$J:$J,"&gt;="&amp;$C60)</f>
        <v>0</v>
      </c>
      <c r="W60" s="83">
        <f>SUMIFS(Dataset!$AK:$AK,Dataset!$F:$F,credito!$D$11,Dataset!$J:$J,"&lt;"&amp;$D60,Dataset!$J:$J,"&gt;="&amp;$C60,Dataset!$AC:$AC,"&lt;&gt;N-1+",Dataset!$AC:$AC,"&lt;&gt;*AA*",Dataset!$AC:$AC,"&lt;&gt;*AAA*",Dataset!$AC:$AC,"&lt;&gt;A",Dataset!$AC:$AC,"&lt;&gt;A-",Dataset!$AC:$AC,"&lt;&gt;A+",Dataset!$AC:$AC,"&lt;&gt;*BBB*")</f>
        <v>0</v>
      </c>
      <c r="X60" s="84">
        <f t="shared" si="3"/>
        <v>5.5138416005814622E-2</v>
      </c>
      <c r="Y60" s="85">
        <f>10*SUMIFS(Dataset!$H:$H,Dataset!$F:$F,credito!$D$11,Dataset!AH:AH,"deposito",Dataset!T:T,"$",Dataset!$J:$J,"&lt;"&amp;$D60,Dataset!J:J,"&gt;="&amp;$C60)</f>
        <v>0</v>
      </c>
      <c r="Z60" s="86">
        <f>10*SUMIFS(Dataset!$H:$H,Dataset!$F:$F,credito!$D$11,Dataset!AH:AH,"deposito",Dataset!T:T,"UF",Dataset!$J:$J,"&lt;"&amp;$D60,Dataset!J:J,"&gt;="&amp;$C60)</f>
        <v>0</v>
      </c>
      <c r="AA60" s="86">
        <f>10*SUMIFS(Dataset!$H:$H,Dataset!$F:$F,credito!$D$11,Dataset!AH:AH,"bono de gobierno",Dataset!T:T,"$",Dataset!$J:$J,"&lt;"&amp;$D60,Dataset!J:J,"&gt;="&amp;$C60)</f>
        <v>0</v>
      </c>
      <c r="AB60" s="86">
        <f>10*SUMIFS(Dataset!$H:$H,Dataset!$F:$F,credito!$D$11,Dataset!AH:AH,"bono de gobierno",Dataset!T:T,"uf",Dataset!$J:$J,"&lt;"&amp;$D60,Dataset!J:J,"&gt;="&amp;$C60)</f>
        <v>0</v>
      </c>
      <c r="AC60" s="86">
        <f>10*SUMIFS(Dataset!$H:$H,Dataset!$F:$F,credito!$D$11,Dataset!AH:AH,"bono de gobierno",Dataset!T:T,"eu",Dataset!$J:$J,"&lt;"&amp;$D60,Dataset!J:J,"&gt;="&amp;$C60)</f>
        <v>0</v>
      </c>
      <c r="AD60" s="86">
        <f>10*SUMIFS(Dataset!$H:$H,Dataset!$F:$F,credito!$D$11,Dataset!AH:AH,"bono de gobierno",Dataset!T:T,"mx",Dataset!$J:$J,"&lt;"&amp;$D60,Dataset!J:J,"&gt;="&amp;$C60)</f>
        <v>0</v>
      </c>
      <c r="AE60" s="86">
        <f>10*SUMIFS(Dataset!$H:$H,Dataset!$F:$F,credito!$D$11,Dataset!AH:AH,"bono corporativo",Dataset!T:T,"$",Dataset!$J:$J,"&lt;"&amp;$D60,Dataset!J:J,"&gt;="&amp;$C60)</f>
        <v>0</v>
      </c>
      <c r="AF60" s="86">
        <f>10*SUMIFS(Dataset!$H:$H,Dataset!$F:$F,credito!$D$11,Dataset!AH:AH,"bono corporativo",Dataset!T:T,"uf",Dataset!$J:$J,"&lt;"&amp;$D60,Dataset!J:J,"&gt;="&amp;$C60)</f>
        <v>6.1718349364749532</v>
      </c>
      <c r="AG60" s="86">
        <f>10*SUMIFS(Dataset!$H:$H,Dataset!$F:$F,credito!$D$11,Dataset!AH:AH,"bono corporativo",Dataset!T:T,"us$",Dataset!$J:$J,"&lt;"&amp;$D60,Dataset!J:J,"&gt;="&amp;$C60)</f>
        <v>0</v>
      </c>
      <c r="AH60" s="86">
        <f>10*SUMIFS(Dataset!H:H,Dataset!F:F,credito!$D$11,Dataset!J:J,"&lt;"&amp;$D83,Dataset!J:J,"&gt;="&amp;$C83,Dataset!AH:AH,"&lt;&gt;bono corporativo",Dataset!AH:AH,"&lt;&gt;bono de gobierno",Dataset!AH:AH,"&lt;&gt;deposito")</f>
        <v>0</v>
      </c>
      <c r="AI60" s="87">
        <f t="shared" si="4"/>
        <v>6.1718349364749532</v>
      </c>
    </row>
    <row r="61" spans="3:35" ht="33" customHeight="1" x14ac:dyDescent="0.3">
      <c r="C61" s="61">
        <v>11.5</v>
      </c>
      <c r="D61" s="81">
        <v>12.5</v>
      </c>
      <c r="E61" s="82">
        <f>SUMIFS(Dataset!AK:AK,Dataset!F:F,credito!$D$11,Dataset!AH:AH,"deposito",Dataset!T:T,"$",Dataset!J:J,"&lt;"&amp;$D61,Dataset!J:J,"&gt;="&amp;$C61)</f>
        <v>0</v>
      </c>
      <c r="F61" s="83">
        <f>SUMIFS(Dataset!AK:AK,Dataset!F:F,credito!$D$11,Dataset!AH:AH,"deposito",Dataset!T:T,"UF",Dataset!J:J,"&lt;"&amp;$D61,Dataset!J:J,"&gt;="&amp;$C61)</f>
        <v>0</v>
      </c>
      <c r="G61" s="83">
        <f>SUMIFS(Dataset!AK:AK,Dataset!F:F,credito!$D$11,Dataset!AH:AH,"bono de gobierno",Dataset!T:T,"$",Dataset!J:J,"&lt;"&amp;$D61,Dataset!J:J,"&gt;="&amp;$C61)</f>
        <v>0</v>
      </c>
      <c r="H61" s="83">
        <f>SUMIFS(Dataset!AK:AK,Dataset!F:F,credito!$D$11,Dataset!AH:AH,"bono de gobierno",Dataset!T:T,"UF",Dataset!J:J,"&lt;"&amp;$D61,Dataset!J:J,"&gt;="&amp;$C61)</f>
        <v>0</v>
      </c>
      <c r="I61" s="83">
        <f>SUMIFS(Dataset!AK:AK,Dataset!F:F,credito!$D$11,Dataset!AH:AH,"bono de gobierno",Dataset!T:T,"eu",Dataset!J:J,"&lt;"&amp;$D61,Dataset!J:J,"&gt;="&amp;$C61)</f>
        <v>0</v>
      </c>
      <c r="J61" s="83">
        <f>SUMIFS(Dataset!AK:AK,Dataset!F:F,credito!$D$11,Dataset!AH:AH,"bono de gobierno",Dataset!T:T,"mx",Dataset!J:J,"&lt;"&amp;$D61,Dataset!J:J,"&gt;="&amp;$C61)</f>
        <v>0</v>
      </c>
      <c r="K61" s="83">
        <f>SUMIFS(Dataset!AK:AK,Dataset!F:F,credito!$D$11,Dataset!AH:AH,"bono corporativo",Dataset!T:T,"$",Dataset!J:J,"&lt;"&amp;$D61,Dataset!J:J,"&gt;="&amp;$C61)</f>
        <v>0</v>
      </c>
      <c r="L61" s="83">
        <f>SUMIFS(Dataset!AK:AK,Dataset!F:F,credito!$D$11,Dataset!AH:AH,"bono corporativo",Dataset!T:T,"UF",Dataset!J:J,"&lt;"&amp;$D61,Dataset!J:J,"&gt;="&amp;$C61)</f>
        <v>6.6859991544729935E-2</v>
      </c>
      <c r="M61" s="83">
        <f>SUMIFS(Dataset!AK:AK,Dataset!F:F,credito!$D$11,Dataset!AH:AH,"bono corporativo",Dataset!T:T,"US$",Dataset!J:J,"&lt;"&amp;$D61,Dataset!J:J,"&gt;="&amp;$C61)</f>
        <v>0</v>
      </c>
      <c r="N61" s="83">
        <f>SUMIFS(Dataset!AK:AK,Dataset!F:F,credito!$D$11,Dataset!J:J,"&lt;"&amp;$D61,Dataset!J:J,"&gt;="&amp;$C61,Dataset!AH:AH,"&lt;&gt;bono corporativo",Dataset!AH:AH,"&lt;&gt;bono de gobierno",Dataset!AH:AH,"&lt;&gt;deposito")</f>
        <v>0</v>
      </c>
      <c r="O61" s="84">
        <f t="shared" si="2"/>
        <v>6.6859991544729935E-2</v>
      </c>
      <c r="P61" s="82">
        <f>SUMIFS(Dataset!$AK:$AK,Dataset!$F:$F,credito!$D$11,Dataset!$AC:$AC,P$48,Dataset!$J:$J,"&lt;"&amp;$D61,Dataset!J:J,"&gt;="&amp;$C61)</f>
        <v>0</v>
      </c>
      <c r="Q61" s="83">
        <f>SUMIFS(Dataset!$AK:$AK,Dataset!$F:$F,credito!$D$11,Dataset!$AC:$AC,Q$48,Dataset!$J:$J,"&lt;"&amp;$D61,Dataset!J:J,"&gt;="&amp;$C61)</f>
        <v>0</v>
      </c>
      <c r="R61" s="83">
        <f>SUMIFS(Dataset!$AK:$AK,Dataset!$F:$F,credito!$D$11,Dataset!$AC:$AC,R$48,Dataset!$J:$J,"&lt;"&amp;$D61,Dataset!J:J,"&gt;="&amp;$C61)</f>
        <v>0</v>
      </c>
      <c r="S61" s="83">
        <f>SUMIFS(Dataset!$AK:$AK,Dataset!$F:$F,credito!$D$11,Dataset!$AC:$AC,S$48,Dataset!$J:$J,"&lt;"&amp;$D61,Dataset!J:J,"&gt;="&amp;$C61)</f>
        <v>0</v>
      </c>
      <c r="T61" s="83">
        <f>SUMIFS(Dataset!$AK:$AK,Dataset!$F:$F,credito!$D$11,Dataset!$AC:$AC,T$48,Dataset!$J:$J,"&lt;"&amp;$D61,Dataset!J:J,"&gt;="&amp;$C61)</f>
        <v>1.7458627920599375E-2</v>
      </c>
      <c r="U61" s="83">
        <f>SUMIFS(Dataset!$AK:$AK,Dataset!$F:$F,credito!$D$11,Dataset!$AC:$AC,"A",Dataset!$J:$J,"&lt;"&amp;$D61,Dataset!$J:$J,"&gt;="&amp;$C61)+SUMIFS(Dataset!$AK:$AK,Dataset!$F:$F,credito!$D$11,Dataset!$AC:$AC,"A-",Dataset!$J:$J,"&lt;"&amp;$D61,Dataset!$J:$J,"&gt;="&amp;$C61)+SUMIFS(Dataset!$AK:$AK,Dataset!$F:$F,credito!$D$11,Dataset!$AC:$AC,"A+",Dataset!$J:$J,"&lt;"&amp;$D61,Dataset!$J:$J,"&gt;="&amp;$C61)</f>
        <v>4.9401363624130563E-2</v>
      </c>
      <c r="V61" s="83">
        <f>SUMIFS(Dataset!$AK:$AK,Dataset!$F:$F,credito!$D$11,Dataset!$AC:$AC,"BBB",Dataset!$J:$J,"&lt;"&amp;$D61,Dataset!$J:$J,"&gt;="&amp;$C61)+SUMIFS(Dataset!$AK:$AK,Dataset!$F:$F,credito!$D$11,Dataset!$AC:$AC,"BBB-",Dataset!$J:$J,"&lt;"&amp;$D61,Dataset!$J:$J,"&gt;="&amp;$C61)+SUMIFS(Dataset!$AK:$AK,Dataset!$F:$F,credito!$D$11,Dataset!$AC:$AC,"BBB+",Dataset!$J:$J,"&lt;"&amp;$D61,Dataset!$J:$J,"&gt;="&amp;$C61)</f>
        <v>0</v>
      </c>
      <c r="W61" s="83">
        <f>SUMIFS(Dataset!$AK:$AK,Dataset!$F:$F,credito!$D$11,Dataset!$J:$J,"&lt;"&amp;$D61,Dataset!$J:$J,"&gt;="&amp;$C61,Dataset!$AC:$AC,"&lt;&gt;N-1+",Dataset!$AC:$AC,"&lt;&gt;*AA*",Dataset!$AC:$AC,"&lt;&gt;*AAA*",Dataset!$AC:$AC,"&lt;&gt;A",Dataset!$AC:$AC,"&lt;&gt;A-",Dataset!$AC:$AC,"&lt;&gt;A+",Dataset!$AC:$AC,"&lt;&gt;*BBB*")</f>
        <v>0</v>
      </c>
      <c r="X61" s="84">
        <f t="shared" si="3"/>
        <v>6.6859991544729935E-2</v>
      </c>
      <c r="Y61" s="85">
        <f>10*SUMIFS(Dataset!$H:$H,Dataset!$F:$F,credito!$D$11,Dataset!AH:AH,"deposito",Dataset!T:T,"$",Dataset!$J:$J,"&lt;"&amp;$D61,Dataset!J:J,"&gt;="&amp;$C61)</f>
        <v>0</v>
      </c>
      <c r="Z61" s="86">
        <f>10*SUMIFS(Dataset!$H:$H,Dataset!$F:$F,credito!$D$11,Dataset!AH:AH,"deposito",Dataset!T:T,"UF",Dataset!$J:$J,"&lt;"&amp;$D61,Dataset!J:J,"&gt;="&amp;$C61)</f>
        <v>0</v>
      </c>
      <c r="AA61" s="86">
        <f>10*SUMIFS(Dataset!$H:$H,Dataset!$F:$F,credito!$D$11,Dataset!AH:AH,"bono de gobierno",Dataset!T:T,"$",Dataset!$J:$J,"&lt;"&amp;$D61,Dataset!J:J,"&gt;="&amp;$C61)</f>
        <v>0</v>
      </c>
      <c r="AB61" s="86">
        <f>10*SUMIFS(Dataset!$H:$H,Dataset!$F:$F,credito!$D$11,Dataset!AH:AH,"bono de gobierno",Dataset!T:T,"uf",Dataset!$J:$J,"&lt;"&amp;$D61,Dataset!J:J,"&gt;="&amp;$C61)</f>
        <v>0</v>
      </c>
      <c r="AC61" s="86">
        <f>10*SUMIFS(Dataset!$H:$H,Dataset!$F:$F,credito!$D$11,Dataset!AH:AH,"bono de gobierno",Dataset!T:T,"eu",Dataset!$J:$J,"&lt;"&amp;$D61,Dataset!J:J,"&gt;="&amp;$C61)</f>
        <v>0</v>
      </c>
      <c r="AD61" s="86">
        <f>10*SUMIFS(Dataset!$H:$H,Dataset!$F:$F,credito!$D$11,Dataset!AH:AH,"bono de gobierno",Dataset!T:T,"mx",Dataset!$J:$J,"&lt;"&amp;$D61,Dataset!J:J,"&gt;="&amp;$C61)</f>
        <v>0</v>
      </c>
      <c r="AE61" s="86">
        <f>10*SUMIFS(Dataset!$H:$H,Dataset!$F:$F,credito!$D$11,Dataset!AH:AH,"bono corporativo",Dataset!T:T,"$",Dataset!$J:$J,"&lt;"&amp;$D61,Dataset!J:J,"&gt;="&amp;$C61)</f>
        <v>0</v>
      </c>
      <c r="AF61" s="86">
        <f>10*SUMIFS(Dataset!$H:$H,Dataset!$F:$F,credito!$D$11,Dataset!AH:AH,"bono corporativo",Dataset!T:T,"uf",Dataset!$J:$J,"&lt;"&amp;$D61,Dataset!J:J,"&gt;="&amp;$C61)</f>
        <v>7.9033165126776206</v>
      </c>
      <c r="AG61" s="86">
        <f>10*SUMIFS(Dataset!$H:$H,Dataset!$F:$F,credito!$D$11,Dataset!AH:AH,"bono corporativo",Dataset!T:T,"us$",Dataset!$J:$J,"&lt;"&amp;$D61,Dataset!J:J,"&gt;="&amp;$C61)</f>
        <v>0</v>
      </c>
      <c r="AH61" s="86">
        <f>10*SUMIFS(Dataset!H:H,Dataset!F:F,credito!$D$11,Dataset!J:J,"&lt;"&amp;$D84,Dataset!J:J,"&gt;="&amp;$C84,Dataset!AH:AH,"&lt;&gt;bono corporativo",Dataset!AH:AH,"&lt;&gt;bono de gobierno",Dataset!AH:AH,"&lt;&gt;deposito")</f>
        <v>0</v>
      </c>
      <c r="AI61" s="87">
        <f t="shared" si="4"/>
        <v>7.9033165126776206</v>
      </c>
    </row>
    <row r="62" spans="3:35" ht="33" customHeight="1" x14ac:dyDescent="0.3">
      <c r="C62" s="61">
        <v>12.5</v>
      </c>
      <c r="D62" s="81">
        <v>13.5</v>
      </c>
      <c r="E62" s="82">
        <f>SUMIFS(Dataset!AK:AK,Dataset!F:F,credito!$D$11,Dataset!AH:AH,"deposito",Dataset!T:T,"$",Dataset!J:J,"&lt;"&amp;$D62,Dataset!J:J,"&gt;="&amp;$C62)</f>
        <v>0</v>
      </c>
      <c r="F62" s="83">
        <f>SUMIFS(Dataset!AK:AK,Dataset!F:F,credito!$D$11,Dataset!AH:AH,"deposito",Dataset!T:T,"UF",Dataset!J:J,"&lt;"&amp;$D62,Dataset!J:J,"&gt;="&amp;$C62)</f>
        <v>0</v>
      </c>
      <c r="G62" s="83">
        <f>SUMIFS(Dataset!AK:AK,Dataset!F:F,credito!$D$11,Dataset!AH:AH,"bono de gobierno",Dataset!T:T,"$",Dataset!J:J,"&lt;"&amp;$D62,Dataset!J:J,"&gt;="&amp;$C62)</f>
        <v>0</v>
      </c>
      <c r="H62" s="83">
        <f>SUMIFS(Dataset!AK:AK,Dataset!F:F,credito!$D$11,Dataset!AH:AH,"bono de gobierno",Dataset!T:T,"UF",Dataset!J:J,"&lt;"&amp;$D62,Dataset!J:J,"&gt;="&amp;$C62)</f>
        <v>0</v>
      </c>
      <c r="I62" s="83">
        <f>SUMIFS(Dataset!AK:AK,Dataset!F:F,credito!$D$11,Dataset!AH:AH,"bono de gobierno",Dataset!T:T,"eu",Dataset!J:J,"&lt;"&amp;$D62,Dataset!J:J,"&gt;="&amp;$C62)</f>
        <v>0</v>
      </c>
      <c r="J62" s="83">
        <f>SUMIFS(Dataset!AK:AK,Dataset!F:F,credito!$D$11,Dataset!AH:AH,"bono de gobierno",Dataset!T:T,"mx",Dataset!J:J,"&lt;"&amp;$D62,Dataset!J:J,"&gt;="&amp;$C62)</f>
        <v>0</v>
      </c>
      <c r="K62" s="83">
        <f>SUMIFS(Dataset!AK:AK,Dataset!F:F,credito!$D$11,Dataset!AH:AH,"bono corporativo",Dataset!T:T,"$",Dataset!J:J,"&lt;"&amp;$D62,Dataset!J:J,"&gt;="&amp;$C62)</f>
        <v>0</v>
      </c>
      <c r="L62" s="83">
        <f>SUMIFS(Dataset!AK:AK,Dataset!F:F,credito!$D$11,Dataset!AH:AH,"bono corporativo",Dataset!T:T,"UF",Dataset!J:J,"&lt;"&amp;$D62,Dataset!J:J,"&gt;="&amp;$C62)</f>
        <v>2.2856802545381246E-2</v>
      </c>
      <c r="M62" s="83">
        <f>SUMIFS(Dataset!AK:AK,Dataset!F:F,credito!$D$11,Dataset!AH:AH,"bono corporativo",Dataset!T:T,"US$",Dataset!J:J,"&lt;"&amp;$D62,Dataset!J:J,"&gt;="&amp;$C62)</f>
        <v>0</v>
      </c>
      <c r="N62" s="83">
        <f>SUMIFS(Dataset!AK:AK,Dataset!F:F,credito!$D$11,Dataset!J:J,"&lt;"&amp;$D62,Dataset!J:J,"&gt;="&amp;$C62,Dataset!AH:AH,"&lt;&gt;bono corporativo",Dataset!AH:AH,"&lt;&gt;bono de gobierno",Dataset!AH:AH,"&lt;&gt;deposito")</f>
        <v>0</v>
      </c>
      <c r="O62" s="84">
        <f t="shared" si="2"/>
        <v>2.2856802545381246E-2</v>
      </c>
      <c r="P62" s="82">
        <f>SUMIFS(Dataset!$AK:$AK,Dataset!$F:$F,credito!$D$11,Dataset!$AC:$AC,P$48,Dataset!$J:$J,"&lt;"&amp;$D62,Dataset!J:J,"&gt;="&amp;$C62)</f>
        <v>0</v>
      </c>
      <c r="Q62" s="83">
        <f>SUMIFS(Dataset!$AK:$AK,Dataset!$F:$F,credito!$D$11,Dataset!$AC:$AC,Q$48,Dataset!$J:$J,"&lt;"&amp;$D62,Dataset!J:J,"&gt;="&amp;$C62)</f>
        <v>0</v>
      </c>
      <c r="R62" s="83">
        <f>SUMIFS(Dataset!$AK:$AK,Dataset!$F:$F,credito!$D$11,Dataset!$AC:$AC,R$48,Dataset!$J:$J,"&lt;"&amp;$D62,Dataset!J:J,"&gt;="&amp;$C62)</f>
        <v>0</v>
      </c>
      <c r="S62" s="83">
        <f>SUMIFS(Dataset!$AK:$AK,Dataset!$F:$F,credito!$D$11,Dataset!$AC:$AC,S$48,Dataset!$J:$J,"&lt;"&amp;$D62,Dataset!J:J,"&gt;="&amp;$C62)</f>
        <v>0</v>
      </c>
      <c r="T62" s="83">
        <f>SUMIFS(Dataset!$AK:$AK,Dataset!$F:$F,credito!$D$11,Dataset!$AC:$AC,T$48,Dataset!$J:$J,"&lt;"&amp;$D62,Dataset!J:J,"&gt;="&amp;$C62)</f>
        <v>8.4588082303080833E-3</v>
      </c>
      <c r="U62" s="83">
        <f>SUMIFS(Dataset!$AK:$AK,Dataset!$F:$F,credito!$D$11,Dataset!$AC:$AC,"A",Dataset!$J:$J,"&lt;"&amp;$D62,Dataset!$J:$J,"&gt;="&amp;$C62)+SUMIFS(Dataset!$AK:$AK,Dataset!$F:$F,credito!$D$11,Dataset!$AC:$AC,"A-",Dataset!$J:$J,"&lt;"&amp;$D62,Dataset!$J:$J,"&gt;="&amp;$C62)+SUMIFS(Dataset!$AK:$AK,Dataset!$F:$F,credito!$D$11,Dataset!$AC:$AC,"A+",Dataset!$J:$J,"&lt;"&amp;$D62,Dataset!$J:$J,"&gt;="&amp;$C62)</f>
        <v>1.4397994315073165E-2</v>
      </c>
      <c r="V62" s="83">
        <f>SUMIFS(Dataset!$AK:$AK,Dataset!$F:$F,credito!$D$11,Dataset!$AC:$AC,"BBB",Dataset!$J:$J,"&lt;"&amp;$D62,Dataset!$J:$J,"&gt;="&amp;$C62)+SUMIFS(Dataset!$AK:$AK,Dataset!$F:$F,credito!$D$11,Dataset!$AC:$AC,"BBB-",Dataset!$J:$J,"&lt;"&amp;$D62,Dataset!$J:$J,"&gt;="&amp;$C62)+SUMIFS(Dataset!$AK:$AK,Dataset!$F:$F,credito!$D$11,Dataset!$AC:$AC,"BBB+",Dataset!$J:$J,"&lt;"&amp;$D62,Dataset!$J:$J,"&gt;="&amp;$C62)</f>
        <v>0</v>
      </c>
      <c r="W62" s="83">
        <f>SUMIFS(Dataset!$AK:$AK,Dataset!$F:$F,credito!$D$11,Dataset!$J:$J,"&lt;"&amp;$D62,Dataset!$J:$J,"&gt;="&amp;$C62,Dataset!$AC:$AC,"&lt;&gt;N-1+",Dataset!$AC:$AC,"&lt;&gt;*AA*",Dataset!$AC:$AC,"&lt;&gt;*AAA*",Dataset!$AC:$AC,"&lt;&gt;A",Dataset!$AC:$AC,"&lt;&gt;A-",Dataset!$AC:$AC,"&lt;&gt;A+",Dataset!$AC:$AC,"&lt;&gt;*BBB*")</f>
        <v>0</v>
      </c>
      <c r="X62" s="84">
        <f t="shared" si="3"/>
        <v>2.285680254538125E-2</v>
      </c>
      <c r="Y62" s="85">
        <f>10*SUMIFS(Dataset!$H:$H,Dataset!$F:$F,credito!$D$11,Dataset!AH:AH,"deposito",Dataset!T:T,"$",Dataset!$J:$J,"&lt;"&amp;$D62,Dataset!J:J,"&gt;="&amp;$C62)</f>
        <v>0</v>
      </c>
      <c r="Z62" s="86">
        <f>10*SUMIFS(Dataset!$H:$H,Dataset!$F:$F,credito!$D$11,Dataset!AH:AH,"deposito",Dataset!T:T,"UF",Dataset!$J:$J,"&lt;"&amp;$D62,Dataset!J:J,"&gt;="&amp;$C62)</f>
        <v>0</v>
      </c>
      <c r="AA62" s="86">
        <f>10*SUMIFS(Dataset!$H:$H,Dataset!$F:$F,credito!$D$11,Dataset!AH:AH,"bono de gobierno",Dataset!T:T,"$",Dataset!$J:$J,"&lt;"&amp;$D62,Dataset!J:J,"&gt;="&amp;$C62)</f>
        <v>0</v>
      </c>
      <c r="AB62" s="86">
        <f>10*SUMIFS(Dataset!$H:$H,Dataset!$F:$F,credito!$D$11,Dataset!AH:AH,"bono de gobierno",Dataset!T:T,"uf",Dataset!$J:$J,"&lt;"&amp;$D62,Dataset!J:J,"&gt;="&amp;$C62)</f>
        <v>0</v>
      </c>
      <c r="AC62" s="86">
        <f>10*SUMIFS(Dataset!$H:$H,Dataset!$F:$F,credito!$D$11,Dataset!AH:AH,"bono de gobierno",Dataset!T:T,"eu",Dataset!$J:$J,"&lt;"&amp;$D62,Dataset!J:J,"&gt;="&amp;$C62)</f>
        <v>0</v>
      </c>
      <c r="AD62" s="86">
        <f>10*SUMIFS(Dataset!$H:$H,Dataset!$F:$F,credito!$D$11,Dataset!AH:AH,"bono de gobierno",Dataset!T:T,"mx",Dataset!$J:$J,"&lt;"&amp;$D62,Dataset!J:J,"&gt;="&amp;$C62)</f>
        <v>0</v>
      </c>
      <c r="AE62" s="86">
        <f>10*SUMIFS(Dataset!$H:$H,Dataset!$F:$F,credito!$D$11,Dataset!AH:AH,"bono corporativo",Dataset!T:T,"$",Dataset!$J:$J,"&lt;"&amp;$D62,Dataset!J:J,"&gt;="&amp;$C62)</f>
        <v>0</v>
      </c>
      <c r="AF62" s="86">
        <f>10*SUMIFS(Dataset!$H:$H,Dataset!$F:$F,credito!$D$11,Dataset!AH:AH,"bono corporativo",Dataset!T:T,"uf",Dataset!$J:$J,"&lt;"&amp;$D62,Dataset!J:J,"&gt;="&amp;$C62)</f>
        <v>2.9698563659999637</v>
      </c>
      <c r="AG62" s="86">
        <f>10*SUMIFS(Dataset!$H:$H,Dataset!$F:$F,credito!$D$11,Dataset!AH:AH,"bono corporativo",Dataset!T:T,"us$",Dataset!$J:$J,"&lt;"&amp;$D62,Dataset!J:J,"&gt;="&amp;$C62)</f>
        <v>0</v>
      </c>
      <c r="AH62" s="86">
        <f>10*SUMIFS(Dataset!H:H,Dataset!F:F,credito!$D$11,Dataset!J:J,"&lt;"&amp;$D85,Dataset!J:J,"&gt;="&amp;$C85,Dataset!AH:AH,"&lt;&gt;bono corporativo",Dataset!AH:AH,"&lt;&gt;bono de gobierno",Dataset!AH:AH,"&lt;&gt;deposito")</f>
        <v>0</v>
      </c>
      <c r="AI62" s="87">
        <f t="shared" si="4"/>
        <v>2.9698563659999637</v>
      </c>
    </row>
    <row r="63" spans="3:35" ht="33" customHeight="1" x14ac:dyDescent="0.3">
      <c r="C63" s="61">
        <v>13.5</v>
      </c>
      <c r="D63" s="81">
        <v>14.5</v>
      </c>
      <c r="E63" s="82">
        <f>SUMIFS(Dataset!AK:AK,Dataset!F:F,credito!$D$11,Dataset!AH:AH,"deposito",Dataset!T:T,"$",Dataset!J:J,"&lt;"&amp;$D63,Dataset!J:J,"&gt;="&amp;$C63)</f>
        <v>0</v>
      </c>
      <c r="F63" s="83">
        <f>SUMIFS(Dataset!AK:AK,Dataset!F:F,credito!$D$11,Dataset!AH:AH,"deposito",Dataset!T:T,"UF",Dataset!J:J,"&lt;"&amp;$D63,Dataset!J:J,"&gt;="&amp;$C63)</f>
        <v>0</v>
      </c>
      <c r="G63" s="83">
        <f>SUMIFS(Dataset!AK:AK,Dataset!F:F,credito!$D$11,Dataset!AH:AH,"bono de gobierno",Dataset!T:T,"$",Dataset!J:J,"&lt;"&amp;$D63,Dataset!J:J,"&gt;="&amp;$C63)</f>
        <v>0</v>
      </c>
      <c r="H63" s="83">
        <f>SUMIFS(Dataset!AK:AK,Dataset!F:F,credito!$D$11,Dataset!AH:AH,"bono de gobierno",Dataset!T:T,"UF",Dataset!J:J,"&lt;"&amp;$D63,Dataset!J:J,"&gt;="&amp;$C63)</f>
        <v>0</v>
      </c>
      <c r="I63" s="83">
        <f>SUMIFS(Dataset!AK:AK,Dataset!F:F,credito!$D$11,Dataset!AH:AH,"bono de gobierno",Dataset!T:T,"eu",Dataset!J:J,"&lt;"&amp;$D63,Dataset!J:J,"&gt;="&amp;$C63)</f>
        <v>0</v>
      </c>
      <c r="J63" s="83">
        <f>SUMIFS(Dataset!AK:AK,Dataset!F:F,credito!$D$11,Dataset!AH:AH,"bono de gobierno",Dataset!T:T,"mx",Dataset!J:J,"&lt;"&amp;$D63,Dataset!J:J,"&gt;="&amp;$C63)</f>
        <v>0</v>
      </c>
      <c r="K63" s="83">
        <f>SUMIFS(Dataset!AK:AK,Dataset!F:F,credito!$D$11,Dataset!AH:AH,"bono corporativo",Dataset!T:T,"$",Dataset!J:J,"&lt;"&amp;$D63,Dataset!J:J,"&gt;="&amp;$C63)</f>
        <v>0</v>
      </c>
      <c r="L63" s="83">
        <f>SUMIFS(Dataset!AK:AK,Dataset!F:F,credito!$D$11,Dataset!AH:AH,"bono corporativo",Dataset!T:T,"UF",Dataset!J:J,"&lt;"&amp;$D63,Dataset!J:J,"&gt;="&amp;$C63)</f>
        <v>0</v>
      </c>
      <c r="M63" s="83">
        <f>SUMIFS(Dataset!AK:AK,Dataset!F:F,credito!$D$11,Dataset!AH:AH,"bono corporativo",Dataset!T:T,"US$",Dataset!J:J,"&lt;"&amp;$D63,Dataset!J:J,"&gt;="&amp;$C63)</f>
        <v>0</v>
      </c>
      <c r="N63" s="83">
        <f>SUMIFS(Dataset!AK:AK,Dataset!F:F,credito!$D$11,Dataset!J:J,"&lt;"&amp;$D63,Dataset!J:J,"&gt;="&amp;$C63,Dataset!AH:AH,"&lt;&gt;bono corporativo",Dataset!AH:AH,"&lt;&gt;bono de gobierno",Dataset!AH:AH,"&lt;&gt;deposito")</f>
        <v>0</v>
      </c>
      <c r="O63" s="84">
        <f t="shared" si="2"/>
        <v>0</v>
      </c>
      <c r="P63" s="82">
        <f>SUMIFS(Dataset!$AK:$AK,Dataset!$F:$F,credito!$D$11,Dataset!$AC:$AC,P$48,Dataset!$J:$J,"&lt;"&amp;$D63,Dataset!J:J,"&gt;="&amp;$C63)</f>
        <v>0</v>
      </c>
      <c r="Q63" s="83">
        <f>SUMIFS(Dataset!$AK:$AK,Dataset!$F:$F,credito!$D$11,Dataset!$AC:$AC,Q$48,Dataset!$J:$J,"&lt;"&amp;$D63,Dataset!J:J,"&gt;="&amp;$C63)</f>
        <v>0</v>
      </c>
      <c r="R63" s="83">
        <f>SUMIFS(Dataset!$AK:$AK,Dataset!$F:$F,credito!$D$11,Dataset!$AC:$AC,R$48,Dataset!$J:$J,"&lt;"&amp;$D63,Dataset!J:J,"&gt;="&amp;$C63)</f>
        <v>0</v>
      </c>
      <c r="S63" s="83">
        <f>SUMIFS(Dataset!$AK:$AK,Dataset!$F:$F,credito!$D$11,Dataset!$AC:$AC,S$48,Dataset!$J:$J,"&lt;"&amp;$D63,Dataset!J:J,"&gt;="&amp;$C63)</f>
        <v>0</v>
      </c>
      <c r="T63" s="83">
        <f>SUMIFS(Dataset!$AK:$AK,Dataset!$F:$F,credito!$D$11,Dataset!$AC:$AC,T$48,Dataset!$J:$J,"&lt;"&amp;$D63,Dataset!J:J,"&gt;="&amp;$C63)</f>
        <v>0</v>
      </c>
      <c r="U63" s="83">
        <f>SUMIFS(Dataset!$AK:$AK,Dataset!$F:$F,credito!$D$11,Dataset!$AC:$AC,"A",Dataset!$J:$J,"&lt;"&amp;$D63,Dataset!$J:$J,"&gt;="&amp;$C63)+SUMIFS(Dataset!$AK:$AK,Dataset!$F:$F,credito!$D$11,Dataset!$AC:$AC,"A-",Dataset!$J:$J,"&lt;"&amp;$D63,Dataset!$J:$J,"&gt;="&amp;$C63)+SUMIFS(Dataset!$AK:$AK,Dataset!$F:$F,credito!$D$11,Dataset!$AC:$AC,"A+",Dataset!$J:$J,"&lt;"&amp;$D63,Dataset!$J:$J,"&gt;="&amp;$C63)</f>
        <v>0</v>
      </c>
      <c r="V63" s="83">
        <f>SUMIFS(Dataset!$AK:$AK,Dataset!$F:$F,credito!$D$11,Dataset!$AC:$AC,"BBB",Dataset!$J:$J,"&lt;"&amp;$D63,Dataset!$J:$J,"&gt;="&amp;$C63)+SUMIFS(Dataset!$AK:$AK,Dataset!$F:$F,credito!$D$11,Dataset!$AC:$AC,"BBB-",Dataset!$J:$J,"&lt;"&amp;$D63,Dataset!$J:$J,"&gt;="&amp;$C63)+SUMIFS(Dataset!$AK:$AK,Dataset!$F:$F,credito!$D$11,Dataset!$AC:$AC,"BBB+",Dataset!$J:$J,"&lt;"&amp;$D63,Dataset!$J:$J,"&gt;="&amp;$C63)</f>
        <v>0</v>
      </c>
      <c r="W63" s="83">
        <f>SUMIFS(Dataset!$AK:$AK,Dataset!$F:$F,credito!$D$11,Dataset!$J:$J,"&lt;"&amp;$D63,Dataset!$J:$J,"&gt;="&amp;$C63,Dataset!$AC:$AC,"&lt;&gt;N-1+",Dataset!$AC:$AC,"&lt;&gt;*AA*",Dataset!$AC:$AC,"&lt;&gt;*AAA*",Dataset!$AC:$AC,"&lt;&gt;A",Dataset!$AC:$AC,"&lt;&gt;A-",Dataset!$AC:$AC,"&lt;&gt;A+",Dataset!$AC:$AC,"&lt;&gt;*BBB*")</f>
        <v>0</v>
      </c>
      <c r="X63" s="84">
        <f t="shared" si="3"/>
        <v>0</v>
      </c>
      <c r="Y63" s="85">
        <f>10*SUMIFS(Dataset!$H:$H,Dataset!$F:$F,credito!$D$11,Dataset!AH:AH,"deposito",Dataset!T:T,"$",Dataset!$J:$J,"&lt;"&amp;$D63,Dataset!J:J,"&gt;="&amp;$C63)</f>
        <v>0</v>
      </c>
      <c r="Z63" s="86">
        <f>10*SUMIFS(Dataset!$H:$H,Dataset!$F:$F,credito!$D$11,Dataset!AH:AH,"deposito",Dataset!T:T,"UF",Dataset!$J:$J,"&lt;"&amp;$D63,Dataset!J:J,"&gt;="&amp;$C63)</f>
        <v>0</v>
      </c>
      <c r="AA63" s="86">
        <f>10*SUMIFS(Dataset!$H:$H,Dataset!$F:$F,credito!$D$11,Dataset!AH:AH,"bono de gobierno",Dataset!T:T,"$",Dataset!$J:$J,"&lt;"&amp;$D63,Dataset!J:J,"&gt;="&amp;$C63)</f>
        <v>0</v>
      </c>
      <c r="AB63" s="86">
        <f>10*SUMIFS(Dataset!$H:$H,Dataset!$F:$F,credito!$D$11,Dataset!AH:AH,"bono de gobierno",Dataset!T:T,"uf",Dataset!$J:$J,"&lt;"&amp;$D63,Dataset!J:J,"&gt;="&amp;$C63)</f>
        <v>0</v>
      </c>
      <c r="AC63" s="86">
        <f>10*SUMIFS(Dataset!$H:$H,Dataset!$F:$F,credito!$D$11,Dataset!AH:AH,"bono de gobierno",Dataset!T:T,"eu",Dataset!$J:$J,"&lt;"&amp;$D63,Dataset!J:J,"&gt;="&amp;$C63)</f>
        <v>0</v>
      </c>
      <c r="AD63" s="86">
        <f>10*SUMIFS(Dataset!$H:$H,Dataset!$F:$F,credito!$D$11,Dataset!AH:AH,"bono de gobierno",Dataset!T:T,"mx",Dataset!$J:$J,"&lt;"&amp;$D63,Dataset!J:J,"&gt;="&amp;$C63)</f>
        <v>0</v>
      </c>
      <c r="AE63" s="86">
        <f>10*SUMIFS(Dataset!$H:$H,Dataset!$F:$F,credito!$D$11,Dataset!AH:AH,"bono corporativo",Dataset!T:T,"$",Dataset!$J:$J,"&lt;"&amp;$D63,Dataset!J:J,"&gt;="&amp;$C63)</f>
        <v>0</v>
      </c>
      <c r="AF63" s="86">
        <f>10*SUMIFS(Dataset!$H:$H,Dataset!$F:$F,credito!$D$11,Dataset!AH:AH,"bono corporativo",Dataset!T:T,"uf",Dataset!$J:$J,"&lt;"&amp;$D63,Dataset!J:J,"&gt;="&amp;$C63)</f>
        <v>0</v>
      </c>
      <c r="AG63" s="86">
        <f>10*SUMIFS(Dataset!$H:$H,Dataset!$F:$F,credito!$D$11,Dataset!AH:AH,"bono corporativo",Dataset!T:T,"us$",Dataset!$J:$J,"&lt;"&amp;$D63,Dataset!J:J,"&gt;="&amp;$C63)</f>
        <v>0</v>
      </c>
      <c r="AH63" s="86">
        <f>10*SUMIFS(Dataset!H:H,Dataset!F:F,credito!$D$11,Dataset!J:J,"&lt;"&amp;$D86,Dataset!J:J,"&gt;="&amp;$C86,Dataset!AH:AH,"&lt;&gt;bono corporativo",Dataset!AH:AH,"&lt;&gt;bono de gobierno",Dataset!AH:AH,"&lt;&gt;deposito")</f>
        <v>0</v>
      </c>
      <c r="AI63" s="87">
        <f t="shared" si="4"/>
        <v>0</v>
      </c>
    </row>
    <row r="64" spans="3:35" ht="33" customHeight="1" x14ac:dyDescent="0.3">
      <c r="C64" s="61">
        <v>14.5</v>
      </c>
      <c r="D64" s="81">
        <v>100</v>
      </c>
      <c r="E64" s="88">
        <f>SUMIFS(Dataset!AK:AK,Dataset!F:F,credito!$D$11,Dataset!AH:AH,"deposito",Dataset!T:T,"$",Dataset!J:J,"&lt;"&amp;$D64,Dataset!J:J,"&gt;="&amp;$C64)</f>
        <v>0</v>
      </c>
      <c r="F64" s="89">
        <f>SUMIFS(Dataset!AK:AK,Dataset!F:F,credito!$D$11,Dataset!AH:AH,"deposito",Dataset!T:T,"UF",Dataset!J:J,"&lt;"&amp;$D64,Dataset!J:J,"&gt;="&amp;$C64)</f>
        <v>0</v>
      </c>
      <c r="G64" s="89">
        <f>SUMIFS(Dataset!AK:AK,Dataset!F:F,credito!$D$11,Dataset!AH:AH,"bono de gobierno",Dataset!T:T,"$",Dataset!J:J,"&lt;"&amp;$D64,Dataset!J:J,"&gt;="&amp;$C64)</f>
        <v>0</v>
      </c>
      <c r="H64" s="89">
        <f>SUMIFS(Dataset!AK:AK,Dataset!F:F,credito!$D$11,Dataset!AH:AH,"bono de gobierno",Dataset!T:T,"UF",Dataset!J:J,"&lt;"&amp;$D64,Dataset!J:J,"&gt;="&amp;$C64)</f>
        <v>0</v>
      </c>
      <c r="I64" s="89">
        <f>SUMIFS(Dataset!AK:AK,Dataset!F:F,credito!$D$11,Dataset!AH:AH,"bono de gobierno",Dataset!T:T,"eu",Dataset!J:J,"&lt;"&amp;$D64,Dataset!J:J,"&gt;="&amp;$C64)</f>
        <v>0</v>
      </c>
      <c r="J64" s="89">
        <f>SUMIFS(Dataset!AK:AK,Dataset!F:F,credito!$D$11,Dataset!AH:AH,"bono de gobierno",Dataset!T:T,"mx",Dataset!J:J,"&lt;"&amp;$D64,Dataset!J:J,"&gt;="&amp;$C64)</f>
        <v>0</v>
      </c>
      <c r="K64" s="89">
        <f>SUMIFS(Dataset!AK:AK,Dataset!F:F,credito!$D$11,Dataset!AH:AH,"bono corporativo",Dataset!T:T,"$",Dataset!J:J,"&lt;"&amp;$D64,Dataset!J:J,"&gt;="&amp;$C64)</f>
        <v>0</v>
      </c>
      <c r="L64" s="89">
        <f>SUMIFS(Dataset!AK:AK,Dataset!F:F,credito!$D$11,Dataset!AH:AH,"bono corporativo",Dataset!T:T,"UF",Dataset!J:J,"&lt;"&amp;$D64,Dataset!J:J,"&gt;="&amp;$C64)</f>
        <v>1.7431983852772562E-2</v>
      </c>
      <c r="M64" s="89">
        <f>SUMIFS(Dataset!AK:AK,Dataset!F:F,credito!$D$11,Dataset!AH:AH,"bono corporativo",Dataset!T:T,"US$",Dataset!J:J,"&lt;"&amp;$D64,Dataset!J:J,"&gt;="&amp;$C64)</f>
        <v>0</v>
      </c>
      <c r="N64" s="89">
        <f>SUMIFS(Dataset!AK:AK,Dataset!F:F,credito!$D$11,Dataset!J:J,"&lt;"&amp;$D64,Dataset!J:J,"&gt;="&amp;$C64,Dataset!AH:AH,"&lt;&gt;bono corporativo",Dataset!AH:AH,"&lt;&gt;bono de gobierno",Dataset!AH:AH,"&lt;&gt;deposito")</f>
        <v>0</v>
      </c>
      <c r="O64" s="90">
        <f t="shared" si="2"/>
        <v>1.7431983852772562E-2</v>
      </c>
      <c r="P64" s="88">
        <f>SUMIFS(Dataset!$AK:$AK,Dataset!$F:$F,credito!$D$11,Dataset!$AC:$AC,P$48,Dataset!$J:$J,"&lt;"&amp;$D64,Dataset!J:J,"&gt;="&amp;$C64)</f>
        <v>0</v>
      </c>
      <c r="Q64" s="89">
        <f>SUMIFS(Dataset!$AK:$AK,Dataset!$F:$F,credito!$D$11,Dataset!$AC:$AC,Q$48,Dataset!$J:$J,"&lt;"&amp;$D64,Dataset!J:J,"&gt;="&amp;$C64)</f>
        <v>0</v>
      </c>
      <c r="R64" s="89">
        <f>SUMIFS(Dataset!$AK:$AK,Dataset!$F:$F,credito!$D$11,Dataset!$AC:$AC,R$48,Dataset!$J:$J,"&lt;"&amp;$D64,Dataset!J:J,"&gt;="&amp;$C64)</f>
        <v>0</v>
      </c>
      <c r="S64" s="89">
        <f>SUMIFS(Dataset!$AK:$AK,Dataset!$F:$F,credito!$D$11,Dataset!$AC:$AC,S$48,Dataset!$J:$J,"&lt;"&amp;$D64,Dataset!J:J,"&gt;="&amp;$C64)</f>
        <v>0</v>
      </c>
      <c r="T64" s="89">
        <f>SUMIFS(Dataset!$AK:$AK,Dataset!$F:$F,credito!$D$11,Dataset!$AC:$AC,T$48,Dataset!$J:$J,"&lt;"&amp;$D64,Dataset!J:J,"&gt;="&amp;$C64)</f>
        <v>0</v>
      </c>
      <c r="U64" s="89">
        <f>SUMIFS(Dataset!$AK:$AK,Dataset!$F:$F,credito!$D$11,Dataset!$AC:$AC,"A",Dataset!$J:$J,"&lt;"&amp;$D64,Dataset!$J:$J,"&gt;="&amp;$C64)+SUMIFS(Dataset!$AK:$AK,Dataset!$F:$F,credito!$D$11,Dataset!$AC:$AC,"A-",Dataset!$J:$J,"&lt;"&amp;$D64,Dataset!$J:$J,"&gt;="&amp;$C64)+SUMIFS(Dataset!$AK:$AK,Dataset!$F:$F,credito!$D$11,Dataset!$AC:$AC,"A+",Dataset!$J:$J,"&lt;"&amp;$D64,Dataset!$J:$J,"&gt;="&amp;$C64)</f>
        <v>1.7431983852772562E-2</v>
      </c>
      <c r="V64" s="89">
        <f>SUMIFS(Dataset!$AK:$AK,Dataset!$F:$F,credito!$D$11,Dataset!$AC:$AC,"BBB",Dataset!$J:$J,"&lt;"&amp;$D64,Dataset!$J:$J,"&gt;="&amp;$C64)+SUMIFS(Dataset!$AK:$AK,Dataset!$F:$F,credito!$D$11,Dataset!$AC:$AC,"BBB-",Dataset!$J:$J,"&lt;"&amp;$D64,Dataset!$J:$J,"&gt;="&amp;$C64)+SUMIFS(Dataset!$AK:$AK,Dataset!$F:$F,credito!$D$11,Dataset!$AC:$AC,"BBB+",Dataset!$J:$J,"&lt;"&amp;$D64,Dataset!$J:$J,"&gt;="&amp;$C64)</f>
        <v>0</v>
      </c>
      <c r="W64" s="89">
        <f>SUMIFS(Dataset!$AK:$AK,Dataset!$F:$F,credito!$D$11,Dataset!$J:$J,"&lt;"&amp;$D64,Dataset!$J:$J,"&gt;="&amp;$C64,Dataset!$AC:$AC,"&lt;&gt;N-1+",Dataset!$AC:$AC,"&lt;&gt;*AA*",Dataset!$AC:$AC,"&lt;&gt;*AAA*",Dataset!$AC:$AC,"&lt;&gt;A",Dataset!$AC:$AC,"&lt;&gt;A-",Dataset!$AC:$AC,"&lt;&gt;A+",Dataset!$AC:$AC,"&lt;&gt;*BBB*")</f>
        <v>0</v>
      </c>
      <c r="X64" s="90">
        <f t="shared" si="3"/>
        <v>1.7431983852772562E-2</v>
      </c>
      <c r="Y64" s="91">
        <f>10*SUMIFS(Dataset!$H:$H,Dataset!$F:$F,credito!$D$11,Dataset!AH:AH,"deposito",Dataset!T:T,"$",Dataset!$J:$J,"&lt;"&amp;$D64,Dataset!J:J,"&gt;="&amp;$C64)</f>
        <v>0</v>
      </c>
      <c r="Z64" s="92">
        <f>10*SUMIFS(Dataset!$H:$H,Dataset!$F:$F,credito!$D$11,Dataset!AH:AH,"deposito",Dataset!T:T,"UF",Dataset!$J:$J,"&lt;"&amp;$D64,Dataset!J:J,"&gt;="&amp;$C64)</f>
        <v>0</v>
      </c>
      <c r="AA64" s="92">
        <f>10*SUMIFS(Dataset!$H:$H,Dataset!$F:$F,credito!$D$11,Dataset!AH:AH,"bono de gobierno",Dataset!T:T,"$",Dataset!$J:$J,"&lt;"&amp;$D64,Dataset!J:J,"&gt;="&amp;$C64)</f>
        <v>0</v>
      </c>
      <c r="AB64" s="92">
        <f>10*SUMIFS(Dataset!$H:$H,Dataset!$F:$F,credito!$D$11,Dataset!AH:AH,"bono de gobierno",Dataset!T:T,"uf",Dataset!$J:$J,"&lt;"&amp;$D64,Dataset!J:J,"&gt;="&amp;$C64)</f>
        <v>0</v>
      </c>
      <c r="AC64" s="92">
        <f>10*SUMIFS(Dataset!$H:$H,Dataset!$F:$F,credito!$D$11,Dataset!AH:AH,"bono de gobierno",Dataset!T:T,"eu",Dataset!$J:$J,"&lt;"&amp;$D64,Dataset!J:J,"&gt;="&amp;$C64)</f>
        <v>0</v>
      </c>
      <c r="AD64" s="92">
        <f>10*SUMIFS(Dataset!$H:$H,Dataset!$F:$F,credito!$D$11,Dataset!AH:AH,"bono de gobierno",Dataset!T:T,"mx",Dataset!$J:$J,"&lt;"&amp;$D64,Dataset!J:J,"&gt;="&amp;$C64)</f>
        <v>0</v>
      </c>
      <c r="AE64" s="92">
        <f>10*SUMIFS(Dataset!$H:$H,Dataset!$F:$F,credito!$D$11,Dataset!AH:AH,"bono corporativo",Dataset!T:T,"$",Dataset!$J:$J,"&lt;"&amp;$D64,Dataset!J:J,"&gt;="&amp;$C64)</f>
        <v>0</v>
      </c>
      <c r="AF64" s="92">
        <f>10*SUMIFS(Dataset!$H:$H,Dataset!$F:$F,credito!$D$11,Dataset!AH:AH,"bono corporativo",Dataset!T:T,"uf",Dataset!$J:$J,"&lt;"&amp;$D64,Dataset!J:J,"&gt;="&amp;$C64)</f>
        <v>2.6306468657633308</v>
      </c>
      <c r="AG64" s="92">
        <f>10*SUMIFS(Dataset!$H:$H,Dataset!$F:$F,credito!$D$11,Dataset!AH:AH,"bono corporativo",Dataset!T:T,"us$",Dataset!$J:$J,"&lt;"&amp;$D64,Dataset!J:J,"&gt;="&amp;$C64)</f>
        <v>0</v>
      </c>
      <c r="AH64" s="92">
        <f>10*SUMIFS(Dataset!H:H,Dataset!F:F,credito!$D$11,Dataset!J:J,"&lt;"&amp;$D87,Dataset!J:J,"&gt;="&amp;$C87,Dataset!AH:AH,"&lt;&gt;bono corporativo",Dataset!AH:AH,"&lt;&gt;bono de gobierno",Dataset!AH:AH,"&lt;&gt;deposito")</f>
        <v>0</v>
      </c>
      <c r="AI64" s="93">
        <f t="shared" si="4"/>
        <v>2.6306468657633308</v>
      </c>
    </row>
    <row r="65" spans="3:35" ht="33" customHeight="1" x14ac:dyDescent="0.3">
      <c r="C65" s="179"/>
      <c r="D65" s="180"/>
      <c r="E65" s="83">
        <f t="shared" ref="E65:N65" si="5">SUM(E49:E64)</f>
        <v>6.2350878329907556E-3</v>
      </c>
      <c r="F65" s="83">
        <f t="shared" si="5"/>
        <v>0</v>
      </c>
      <c r="G65" s="83">
        <f t="shared" si="5"/>
        <v>0</v>
      </c>
      <c r="H65" s="83">
        <f t="shared" si="5"/>
        <v>2.4643468838122844E-2</v>
      </c>
      <c r="I65" s="83">
        <f t="shared" si="5"/>
        <v>0</v>
      </c>
      <c r="J65" s="83">
        <f t="shared" si="5"/>
        <v>0</v>
      </c>
      <c r="K65" s="83">
        <f t="shared" si="5"/>
        <v>0.103398243738562</v>
      </c>
      <c r="L65" s="83">
        <f t="shared" si="5"/>
        <v>0.82140528411476321</v>
      </c>
      <c r="M65" s="83">
        <f t="shared" si="5"/>
        <v>2.6625220097361988E-2</v>
      </c>
      <c r="N65" s="83">
        <f t="shared" si="5"/>
        <v>1.7692695378199196E-2</v>
      </c>
      <c r="O65" s="84">
        <f t="shared" si="2"/>
        <v>1</v>
      </c>
      <c r="P65" s="83">
        <f t="shared" ref="P65:W65" si="6">SUM(P49:P64)</f>
        <v>6.2350878329907556E-3</v>
      </c>
      <c r="Q65" s="83">
        <f t="shared" si="6"/>
        <v>4.7139490359805095E-2</v>
      </c>
      <c r="R65" s="83">
        <f t="shared" si="6"/>
        <v>7.3572053201813106E-3</v>
      </c>
      <c r="S65" s="83">
        <f t="shared" si="6"/>
        <v>6.3007435928077379E-2</v>
      </c>
      <c r="T65" s="83">
        <f t="shared" si="6"/>
        <v>0.2448345592541476</v>
      </c>
      <c r="U65" s="83">
        <f t="shared" si="6"/>
        <v>0.45092485115246078</v>
      </c>
      <c r="V65" s="83">
        <f t="shared" si="6"/>
        <v>0.11003561659145664</v>
      </c>
      <c r="W65" s="83">
        <f t="shared" si="6"/>
        <v>7.0465753560880445E-2</v>
      </c>
      <c r="X65" s="84">
        <f t="shared" si="3"/>
        <v>1</v>
      </c>
      <c r="Y65" s="86">
        <f>SUM(Y49:Y64)</f>
        <v>3.3761143759000571E-2</v>
      </c>
      <c r="Z65" s="86">
        <f t="shared" ref="Z65:AH65" si="7">SUM(Z49:Z64)</f>
        <v>0</v>
      </c>
      <c r="AA65" s="86">
        <f t="shared" si="7"/>
        <v>0</v>
      </c>
      <c r="AB65" s="86"/>
      <c r="AC65" s="86"/>
      <c r="AD65" s="86">
        <f t="shared" si="7"/>
        <v>0</v>
      </c>
      <c r="AE65" s="86">
        <f t="shared" si="7"/>
        <v>3.2910677125041015</v>
      </c>
      <c r="AF65" s="86">
        <f t="shared" si="7"/>
        <v>55.686720552263793</v>
      </c>
      <c r="AG65" s="86">
        <f t="shared" si="7"/>
        <v>1.232096121379467</v>
      </c>
      <c r="AH65" s="86">
        <f t="shared" si="7"/>
        <v>1.1527017755019161E-2</v>
      </c>
      <c r="AI65" s="87">
        <f t="shared" si="4"/>
        <v>60.255172547661388</v>
      </c>
    </row>
    <row r="66" spans="3:35" ht="15" customHeight="1" x14ac:dyDescent="0.3"/>
    <row r="67" spans="3:35" ht="48" customHeight="1" x14ac:dyDescent="0.3">
      <c r="AB67" s="176" t="s">
        <v>230</v>
      </c>
      <c r="AC67" s="176"/>
      <c r="AD67" s="176"/>
      <c r="AE67" s="176"/>
      <c r="AF67" s="176"/>
      <c r="AG67" s="176"/>
      <c r="AH67" s="176"/>
      <c r="AI67" s="176"/>
    </row>
    <row r="68" spans="3:35" ht="15" customHeight="1" x14ac:dyDescent="0.3">
      <c r="AB68" s="69"/>
    </row>
    <row r="69" spans="3:35" ht="42" customHeight="1" x14ac:dyDescent="0.3">
      <c r="E69" s="176" t="s">
        <v>231</v>
      </c>
      <c r="F69" s="176"/>
      <c r="G69" s="176"/>
      <c r="H69" s="176"/>
      <c r="I69" s="176"/>
      <c r="J69" s="176"/>
      <c r="K69" s="176"/>
      <c r="L69" s="176"/>
      <c r="M69" s="176"/>
      <c r="N69" s="176"/>
      <c r="O69" s="50"/>
      <c r="P69" s="176" t="s">
        <v>229</v>
      </c>
      <c r="Q69" s="176"/>
      <c r="R69" s="176"/>
      <c r="S69" s="176"/>
      <c r="T69" s="176"/>
      <c r="U69" s="176"/>
      <c r="V69" s="176"/>
      <c r="W69" s="176"/>
      <c r="X69" s="176"/>
      <c r="Y69" s="176"/>
    </row>
    <row r="70" spans="3:35" ht="27" customHeight="1" x14ac:dyDescent="0.3">
      <c r="E70" s="69"/>
      <c r="F70" s="69"/>
      <c r="G70" s="69"/>
      <c r="H70" s="69"/>
      <c r="I70" s="69"/>
      <c r="J70" s="69"/>
      <c r="K70" s="69"/>
      <c r="L70" s="69"/>
      <c r="M70" s="69"/>
      <c r="O70" s="69"/>
      <c r="P70" s="69"/>
      <c r="Q70" s="69"/>
      <c r="R70" s="69"/>
      <c r="S70" s="69"/>
      <c r="T70" s="69"/>
      <c r="U70" s="69"/>
      <c r="V70" s="69"/>
      <c r="AB70" s="177" t="s">
        <v>68</v>
      </c>
      <c r="AC70" s="178"/>
      <c r="AD70" s="94" t="s">
        <v>72</v>
      </c>
      <c r="AE70" s="94" t="s">
        <v>73</v>
      </c>
      <c r="AF70" s="94" t="s">
        <v>86</v>
      </c>
      <c r="AG70" s="94" t="s">
        <v>109</v>
      </c>
      <c r="AH70" s="94" t="s">
        <v>110</v>
      </c>
      <c r="AI70" s="94"/>
    </row>
    <row r="71" spans="3:35" ht="27" customHeight="1" x14ac:dyDescent="0.3">
      <c r="C71" s="177" t="s">
        <v>68</v>
      </c>
      <c r="D71" s="177"/>
      <c r="E71" s="94" t="s">
        <v>72</v>
      </c>
      <c r="F71" s="94" t="s">
        <v>73</v>
      </c>
      <c r="G71" s="94" t="s">
        <v>74</v>
      </c>
      <c r="H71" s="94" t="s">
        <v>75</v>
      </c>
      <c r="I71" s="94" t="s">
        <v>90</v>
      </c>
      <c r="J71" s="94" t="s">
        <v>159</v>
      </c>
      <c r="K71" s="94" t="s">
        <v>76</v>
      </c>
      <c r="L71" s="94" t="s">
        <v>77</v>
      </c>
      <c r="M71" s="94" t="s">
        <v>78</v>
      </c>
      <c r="N71" s="94" t="s">
        <v>79</v>
      </c>
      <c r="O71" s="94"/>
      <c r="P71" s="94" t="s">
        <v>72</v>
      </c>
      <c r="Q71" s="94" t="s">
        <v>73</v>
      </c>
      <c r="R71" s="94" t="s">
        <v>74</v>
      </c>
      <c r="S71" s="94" t="s">
        <v>75</v>
      </c>
      <c r="T71" s="94" t="s">
        <v>90</v>
      </c>
      <c r="U71" s="94" t="s">
        <v>159</v>
      </c>
      <c r="V71" s="94" t="s">
        <v>76</v>
      </c>
      <c r="W71" s="94" t="s">
        <v>77</v>
      </c>
      <c r="X71" s="94" t="s">
        <v>78</v>
      </c>
      <c r="Y71" s="94" t="s">
        <v>79</v>
      </c>
      <c r="Z71" s="94"/>
      <c r="AB71" s="72">
        <v>0</v>
      </c>
      <c r="AC71" s="97">
        <v>15</v>
      </c>
      <c r="AD71" s="98">
        <f>SUMIFS(Dataset!AJ:AJ,Dataset!F:F,credito!$D$11,Dataset!AH:AH,"deposito",Dataset!T:T,"$",Dataset!J:J,"&lt;"&amp;$AC71/365,Dataset!J:J,"&gt;="&amp;$AB71/365)</f>
        <v>0</v>
      </c>
      <c r="AE71" s="98">
        <f>SUMIFS(Dataset!AJ:AJ,Dataset!F:F,credito!$D$11,Dataset!AH:AH,"deposito",Dataset!T:T,"uf",Dataset!J:J,"&lt;"&amp;$AC71/365,Dataset!J:J,"&gt;="&amp;$AB71/365)</f>
        <v>0</v>
      </c>
      <c r="AF71" s="98">
        <f>SUMIFS(Dataset!AJ:AJ,Dataset!F:F,credito!$D$11,Dataset!AH:AH,"deposito",Dataset!T:T,"us$",Dataset!J:J,"&lt;"&amp;$AC71/365,Dataset!J:J,"&gt;="&amp;$AB71/365)</f>
        <v>0</v>
      </c>
      <c r="AG71" s="98">
        <f>SUMIFS(Dataset!AJ:AJ,Dataset!F:F,credito!$D$11,Dataset!AH:AH,"factura",Dataset!J:J,"&lt;"&amp;$AC71/365,Dataset!J:J,"&gt;="&amp;$AB71/365)</f>
        <v>0</v>
      </c>
      <c r="AH71" s="99">
        <f>SUMIFS(Dataset!AJ:AJ,Dataset!F:F,credito!$D$11,Dataset!AH:AH,"letra hipotecaria",Dataset!J:J,"&lt;"&amp;$AC71/365,Dataset!J:J,"&gt;="&amp;$AB71/365)</f>
        <v>0</v>
      </c>
      <c r="AI71" s="84">
        <f>SUM(AD71:AH71)</f>
        <v>0</v>
      </c>
    </row>
    <row r="72" spans="3:35" ht="39" customHeight="1" x14ac:dyDescent="0.3">
      <c r="C72" s="72">
        <v>0</v>
      </c>
      <c r="D72" s="73">
        <v>0.5</v>
      </c>
      <c r="E72" s="74">
        <f>SUMIFS(Dataset!AJ:AJ,Dataset!F:F,credito!$D$11,Dataset!AH:AH,"deposito",Dataset!T:T,"$",Dataset!J:J,"&lt;"&amp;$D72,Dataset!J:J,"&gt;="&amp;$C72)</f>
        <v>2.9136544823443441E-3</v>
      </c>
      <c r="F72" s="75">
        <f>SUMIFS(Dataset!AJ:AJ,Dataset!F:F,credito!$D$11,Dataset!AH:AH,"deposito",Dataset!T:T,"UF",Dataset!J:J,"&lt;"&amp;$D72,Dataset!J:J,"&gt;="&amp;$C72)</f>
        <v>0</v>
      </c>
      <c r="G72" s="75">
        <f>SUMIFS(Dataset!AJ:AJ,Dataset!F:F,credito!$D$11,Dataset!AH:AH,"bono de gobierno",Dataset!T:T,"$",Dataset!J:J,"&lt;"&amp;$D72,Dataset!J:J,"&gt;="&amp;$C72)</f>
        <v>0</v>
      </c>
      <c r="H72" s="75">
        <f>SUMIFS(Dataset!AJ:AJ,Dataset!F:F,credito!$D$11,Dataset!AH:AH,"bono de gobierno",Dataset!T:T,"UF",Dataset!J:J,"&lt;"&amp;$D72,Dataset!J:J,"&gt;="&amp;$C72)</f>
        <v>0</v>
      </c>
      <c r="I72" s="75">
        <f>SUMIFS(Dataset!AJ:AJ,Dataset!F:F,credito!$D$11,Dataset!AH:AH,"bono de gobierno",Dataset!T:T,"eu",Dataset!J:J,"&lt;"&amp;$D72,Dataset!J:J,"&gt;="&amp;$C72)</f>
        <v>0</v>
      </c>
      <c r="J72" s="75">
        <f>SUMIFS(Dataset!AJ:AJ,Dataset!F:F,credito!$D$11,Dataset!AH:AH,"bono de gobierno",Dataset!T:T,"mx",Dataset!J:J,"&lt;"&amp;$D72,Dataset!J:J,"&gt;="&amp;$C72)</f>
        <v>0</v>
      </c>
      <c r="K72" s="75">
        <f>SUMIFS(Dataset!AJ:AJ,Dataset!F:F,credito!$D$11,Dataset!AH:AH,"bono corporativo",Dataset!T:T,"$",Dataset!J:J,"&lt;"&amp;$D72,Dataset!J:J,"&gt;="&amp;$C72)</f>
        <v>2.1707973794388453E-4</v>
      </c>
      <c r="L72" s="75">
        <f>SUMIFS(Dataset!AJ:AJ,Dataset!F:F,credito!$D$11,Dataset!AH:AH,"bono corporativo",Dataset!T:T,"UF",Dataset!J:J,"&lt;"&amp;$D72,Dataset!J:J,"&gt;="&amp;$C72)</f>
        <v>1.9301042333983846E-3</v>
      </c>
      <c r="M72" s="75">
        <f>SUMIFS(Dataset!AJ:AJ,Dataset!F:F,credito!$D$11,Dataset!AH:AH,"bono corporativo",Dataset!T:T,"US$",Dataset!J:J,"&lt;"&amp;$D72,Dataset!J:J,"&gt;="&amp;$C72)</f>
        <v>0</v>
      </c>
      <c r="N72" s="75">
        <f>SUMIFS(Dataset!AJ:AJ,Dataset!F:F,credito!$D$11,Dataset!J:J,"&lt;"&amp;$D72,Dataset!J:J,"&gt;="&amp;$C72,Dataset!AH:AH,"&lt;&gt;bono corporativo",Dataset!AH:AH,"&lt;&gt;bono de gobierno",Dataset!AH:AH,"&lt;&gt;deposito")</f>
        <v>1.7692695378199196E-2</v>
      </c>
      <c r="O72" s="84">
        <f t="shared" ref="O72:O88" si="8">SUM(E72:N72)</f>
        <v>2.275353383188581E-2</v>
      </c>
      <c r="P72" s="74">
        <f>SUMIFS(Dataset!AA:AA,Dataset!F:F,credito!$D$11,Dataset!AH:AH,"deposito",Dataset!T:T,"$",Dataset!J:J,"&lt;"&amp;$D72,Dataset!J:J,"&gt;="&amp;$C72)</f>
        <v>-3.8218430427934563E-4</v>
      </c>
      <c r="Q72" s="75">
        <f>SUMIFS(Dataset!AA:AA,Dataset!F:F,credito!$D$11,Dataset!AH:AH,"deposito",Dataset!T:T,"UF",Dataset!J:J,"&lt;"&amp;$D72,Dataset!J:J,"&gt;="&amp;$C72)</f>
        <v>0</v>
      </c>
      <c r="R72" s="75">
        <f>SUMIFS(Dataset!AA:AA,Dataset!F:F,credito!$D$11,Dataset!AH:AH,"bono de gobierno",Dataset!T:T,"$",Dataset!J:J,"&lt;"&amp;$D72,Dataset!J:J,"&gt;="&amp;$C72)</f>
        <v>0</v>
      </c>
      <c r="S72" s="75">
        <f>SUMIFS(Dataset!AA:AA,Dataset!F:F,credito!$D$11,Dataset!AH:AH,"bono de gobierno",Dataset!T:T,"UF",Dataset!J:J,"&lt;"&amp;$D72,Dataset!J:J,"&gt;="&amp;$C72)</f>
        <v>0</v>
      </c>
      <c r="T72" s="75">
        <f>SUMIFS(Dataset!AA:AA,Dataset!F:F,credito!$D$11,Dataset!AH:AH,"bono de gobierno",Dataset!T:T,"EU",Dataset!J:J,"&lt;"&amp;$D72,Dataset!J:J,"&gt;="&amp;$C72)</f>
        <v>0</v>
      </c>
      <c r="U72" s="75">
        <f>SUMIFS(Dataset!AA:AA,Dataset!F:F,credito!$D$11,Dataset!AH:AH,"bono de gobierno",Dataset!T:T,"MX",Dataset!J:J,"&lt;"&amp;$D72,Dataset!J:J,"&gt;="&amp;$C72)</f>
        <v>0</v>
      </c>
      <c r="V72" s="75">
        <f>SUMIFS(Dataset!AA:AA,Dataset!F:F,credito!$D$11,Dataset!AH:AH,"bono corporativo",Dataset!T:T,"$",Dataset!J:J,"&lt;"&amp;$D72,Dataset!J:J,"&gt;="&amp;$C72)</f>
        <v>-1.5405785539152856E-4</v>
      </c>
      <c r="W72" s="75">
        <f>SUMIFS(Dataset!AA:AA,Dataset!F:F,credito!$D$11,Dataset!AH:AH,"bono corporativo",Dataset!T:T,"UF",Dataset!J:J,"&lt;"&amp;$D72,Dataset!J:J,"&gt;="&amp;$C72)</f>
        <v>-1.32431272067584E-3</v>
      </c>
      <c r="X72" s="75">
        <f>SUMIFS(Dataset!AA:AA,Dataset!F:F,credito!$D$11,Dataset!AH:AH,"bono corporativo",Dataset!T:T,"US$",Dataset!J:J,"&lt;"&amp;$D72,Dataset!J:J,"&gt;="&amp;$C72)</f>
        <v>0</v>
      </c>
      <c r="Y72" s="75">
        <f>SUMIFS(Dataset!AA:AA,Dataset!F:F,credito!$D$11,Dataset!J:J,"&lt;"&amp;$D72,Dataset!J:J,"&gt;="&amp;$C72,Dataset!AH:AH,"&lt;&gt;bono corporativo",Dataset!AH:AH,"&lt;&gt;bono de gobierno",Dataset!AH:AH,"&lt;&gt;deposito")</f>
        <v>-0.18536395013230691</v>
      </c>
      <c r="Z72" s="84">
        <f t="shared" ref="Z72:Z88" si="9">SUM(P72:Y72)</f>
        <v>-0.18722450501265364</v>
      </c>
      <c r="AB72" s="61">
        <v>15</v>
      </c>
      <c r="AC72" s="100">
        <v>30</v>
      </c>
      <c r="AD72" s="101">
        <f>SUMIFS(Dataset!AJ:AJ,Dataset!F:F,credito!$D$11,Dataset!AH:AH,"deposito",Dataset!T:T,"$",Dataset!J:J,"&lt;"&amp;$AC72/365,Dataset!J:J,"&gt;="&amp;$AB72/365)</f>
        <v>0</v>
      </c>
      <c r="AE72" s="101">
        <f>SUMIFS(Dataset!AJ:AJ,Dataset!F:F,credito!$D$11,Dataset!AH:AH,"deposito",Dataset!T:T,"uf",Dataset!J:J,"&lt;"&amp;$AC72/365,Dataset!J:J,"&gt;="&amp;$AB72/365)</f>
        <v>0</v>
      </c>
      <c r="AF72" s="101">
        <f>SUMIFS(Dataset!AJ:AJ,Dataset!F:F,credito!$D$11,Dataset!AH:AH,"deposito",Dataset!T:T,"us$",Dataset!J:J,"&lt;"&amp;$AC72/365,Dataset!J:J,"&gt;="&amp;$AB72/365)</f>
        <v>0</v>
      </c>
      <c r="AG72" s="101">
        <f>SUMIFS(Dataset!AJ:AJ,Dataset!F:F,credito!$D$11,Dataset!AH:AH,"factura",Dataset!J:J,"&lt;"&amp;$AC72/365,Dataset!J:J,"&gt;="&amp;$AB72/365)</f>
        <v>0</v>
      </c>
      <c r="AH72" s="102">
        <f>SUMIFS(Dataset!AJ:AJ,Dataset!F:F,credito!$D$11,Dataset!AH:AH,"letra hipotecaria",Dataset!J:J,"&lt;"&amp;$AC72/365,Dataset!J:J,"&gt;="&amp;$AB72/365)</f>
        <v>0</v>
      </c>
      <c r="AI72" s="84">
        <f t="shared" ref="AI72:AI90" si="10">SUM(AD72:AH72)</f>
        <v>0</v>
      </c>
    </row>
    <row r="73" spans="3:35" ht="35.25" customHeight="1" x14ac:dyDescent="0.3">
      <c r="C73" s="61">
        <v>0.5</v>
      </c>
      <c r="D73" s="81">
        <v>1.5</v>
      </c>
      <c r="E73" s="82">
        <f>SUMIFS(Dataset!AJ:AJ,Dataset!F:F,credito!$D$11,Dataset!AH:AH,"deposito",Dataset!T:T,"$",Dataset!J:J,"&lt;"&amp;$D73,Dataset!J:J,"&gt;="&amp;$C73)</f>
        <v>3.3214333506464116E-3</v>
      </c>
      <c r="F73" s="83">
        <f>SUMIFS(Dataset!AJ:AJ,Dataset!F:F,credito!$D$11,Dataset!AH:AH,"deposito",Dataset!T:T,"UF",Dataset!J:J,"&lt;"&amp;$D73,Dataset!J:J,"&gt;="&amp;$C73)</f>
        <v>0</v>
      </c>
      <c r="G73" s="83">
        <f>SUMIFS(Dataset!AJ:AJ,Dataset!F:F,credito!$D$11,Dataset!AH:AH,"bono de gobierno",Dataset!T:T,"$",Dataset!J:J,"&lt;"&amp;$D73,Dataset!J:J,"&gt;="&amp;$C73)</f>
        <v>0</v>
      </c>
      <c r="H73" s="83">
        <f>SUMIFS(Dataset!AJ:AJ,Dataset!F:F,credito!$D$11,Dataset!AH:AH,"bono de gobierno",Dataset!T:T,"UF",Dataset!J:J,"&lt;"&amp;$D73,Dataset!J:J,"&gt;="&amp;$C73)</f>
        <v>0</v>
      </c>
      <c r="I73" s="83">
        <f>SUMIFS(Dataset!AJ:AJ,Dataset!F:F,credito!$D$11,Dataset!AH:AH,"bono de gobierno",Dataset!T:T,"eu",Dataset!J:J,"&lt;"&amp;$D73,Dataset!J:J,"&gt;="&amp;$C73)</f>
        <v>0</v>
      </c>
      <c r="J73" s="83">
        <f>SUMIFS(Dataset!AJ:AJ,Dataset!F:F,credito!$D$11,Dataset!AH:AH,"bono de gobierno",Dataset!T:T,"mx",Dataset!J:J,"&lt;"&amp;$D73,Dataset!J:J,"&gt;="&amp;$C73)</f>
        <v>0</v>
      </c>
      <c r="K73" s="83">
        <f>SUMIFS(Dataset!AJ:AJ,Dataset!F:F,credito!$D$11,Dataset!AH:AH,"bono corporativo",Dataset!T:T,"$",Dataset!J:J,"&lt;"&amp;$D73,Dataset!J:J,"&gt;="&amp;$C73)</f>
        <v>2.9333651305654029E-2</v>
      </c>
      <c r="L73" s="83">
        <f>SUMIFS(Dataset!AJ:AJ,Dataset!F:F,credito!$D$11,Dataset!AH:AH,"bono corporativo",Dataset!T:T,"UF",Dataset!J:J,"&lt;"&amp;$D73,Dataset!J:J,"&gt;="&amp;$C73)</f>
        <v>-3.3806843524768565E-2</v>
      </c>
      <c r="M73" s="83">
        <f>SUMIFS(Dataset!AJ:AJ,Dataset!F:F,credito!$D$11,Dataset!AH:AH,"bono corporativo",Dataset!T:T,"US$",Dataset!J:J,"&lt;"&amp;$D73,Dataset!J:J,"&gt;="&amp;$C73)</f>
        <v>0</v>
      </c>
      <c r="N73" s="83">
        <f>SUMIFS(Dataset!AJ:AJ,Dataset!F:F,credito!$D$11,Dataset!J:J,"&lt;"&amp;$D73,Dataset!J:J,"&gt;="&amp;$C73,Dataset!AH:AH,"&lt;&gt;bono corporativo",Dataset!AH:AH,"&lt;&gt;bono de gobierno",Dataset!AH:AH,"&lt;&gt;deposito")</f>
        <v>0</v>
      </c>
      <c r="O73" s="84">
        <f t="shared" si="8"/>
        <v>-1.1517588684681265E-3</v>
      </c>
      <c r="P73" s="82">
        <f>SUMIFS(Dataset!AA:AA,Dataset!F:F,credito!$D$11,Dataset!AH:AH,"deposito",Dataset!T:T,"$",Dataset!J:J,"&lt;"&amp;$D73,Dataset!J:J,"&gt;="&amp;$C73)</f>
        <v>-6.9139715078297428E-4</v>
      </c>
      <c r="Q73" s="83">
        <f>SUMIFS(Dataset!AA:AA,Dataset!F:F,credito!$D$11,Dataset!AH:AH,"deposito",Dataset!T:T,"UF",Dataset!J:J,"&lt;"&amp;$D73,Dataset!J:J,"&gt;="&amp;$C73)</f>
        <v>0</v>
      </c>
      <c r="R73" s="83">
        <f>SUMIFS(Dataset!AA:AA,Dataset!F:F,credito!$D$11,Dataset!AH:AH,"bono de gobierno",Dataset!T:T,"$",Dataset!J:J,"&lt;"&amp;$D73,Dataset!J:J,"&gt;="&amp;$C73)</f>
        <v>0</v>
      </c>
      <c r="S73" s="83">
        <f>SUMIFS(Dataset!AA:AA,Dataset!F:F,credito!$D$11,Dataset!AH:AH,"bono de gobierno",Dataset!T:T,"UF",Dataset!J:J,"&lt;"&amp;$D73,Dataset!J:J,"&gt;="&amp;$C73)</f>
        <v>0</v>
      </c>
      <c r="T73" s="83">
        <f>SUMIFS(Dataset!AA:AA,Dataset!F:F,credito!$D$11,Dataset!AH:AH,"bono de gobierno",Dataset!T:T,"EU",Dataset!J:J,"&lt;"&amp;$D73,Dataset!J:J,"&gt;="&amp;$C73)</f>
        <v>0</v>
      </c>
      <c r="U73" s="83">
        <f>SUMIFS(Dataset!AA:AA,Dataset!F:F,credito!$D$11,Dataset!AH:AH,"bono de gobierno",Dataset!T:T,"MX",Dataset!J:J,"&lt;"&amp;$D73,Dataset!J:J,"&gt;="&amp;$C73)</f>
        <v>0</v>
      </c>
      <c r="V73" s="83">
        <f>SUMIFS(Dataset!AA:AA,Dataset!F:F,credito!$D$11,Dataset!AH:AH,"bono corporativo",Dataset!T:T,"$",Dataset!J:J,"&lt;"&amp;$D73,Dataset!J:J,"&gt;="&amp;$C73)</f>
        <v>4.3916611281952251E-3</v>
      </c>
      <c r="W73" s="83">
        <f>SUMIFS(Dataset!AA:AA,Dataset!F:F,credito!$D$11,Dataset!AH:AH,"bono corporativo",Dataset!T:T,"UF",Dataset!J:J,"&lt;"&amp;$D73,Dataset!J:J,"&gt;="&amp;$C73)</f>
        <v>2.3091055760463598E-2</v>
      </c>
      <c r="X73" s="83">
        <f>SUMIFS(Dataset!AA:AA,Dataset!F:F,credito!$D$11,Dataset!AH:AH,"bono corporativo",Dataset!T:T,"US$",Dataset!J:J,"&lt;"&amp;$D73,Dataset!J:J,"&gt;="&amp;$C73)</f>
        <v>0</v>
      </c>
      <c r="Y73" s="83">
        <f>SUMIFS(Dataset!AA:AA,Dataset!F:F,credito!$D$11,Dataset!J:J,"&lt;"&amp;$D73,Dataset!J:J,"&gt;="&amp;$C73,Dataset!AH:AH,"&lt;&gt;bono corporativo",Dataset!AH:AH,"&lt;&gt;bono de gobierno",Dataset!AH:AH,"&lt;&gt;deposito")</f>
        <v>0</v>
      </c>
      <c r="Z73" s="84">
        <f t="shared" si="9"/>
        <v>2.6791319737875848E-2</v>
      </c>
      <c r="AB73" s="61">
        <v>30</v>
      </c>
      <c r="AC73" s="100">
        <v>45</v>
      </c>
      <c r="AD73" s="101">
        <f>SUMIFS(Dataset!AJ:AJ,Dataset!F:F,credito!$D$11,Dataset!AH:AH,"deposito",Dataset!T:T,"$",Dataset!J:J,"&lt;"&amp;$AC73/365,Dataset!J:J,"&gt;="&amp;$AB73/365)</f>
        <v>0</v>
      </c>
      <c r="AE73" s="101">
        <f>SUMIFS(Dataset!AJ:AJ,Dataset!F:F,credito!$D$11,Dataset!AH:AH,"deposito",Dataset!T:T,"uf",Dataset!J:J,"&lt;"&amp;$AC73/365,Dataset!J:J,"&gt;="&amp;$AB73/365)</f>
        <v>0</v>
      </c>
      <c r="AF73" s="101">
        <f>SUMIFS(Dataset!AJ:AJ,Dataset!F:F,credito!$D$11,Dataset!AH:AH,"deposito",Dataset!T:T,"us$",Dataset!J:J,"&lt;"&amp;$AC73/365,Dataset!J:J,"&gt;="&amp;$AB73/365)</f>
        <v>0</v>
      </c>
      <c r="AG73" s="101">
        <f>SUMIFS(Dataset!AJ:AJ,Dataset!F:F,credito!$D$11,Dataset!AH:AH,"factura",Dataset!J:J,"&lt;"&amp;$AC73/365,Dataset!J:J,"&gt;="&amp;$AB73/365)</f>
        <v>0</v>
      </c>
      <c r="AH73" s="102">
        <f>SUMIFS(Dataset!AJ:AJ,Dataset!F:F,credito!$D$11,Dataset!AH:AH,"letra hipotecaria",Dataset!J:J,"&lt;"&amp;$AC73/365,Dataset!J:J,"&gt;="&amp;$AB73/365)</f>
        <v>0</v>
      </c>
      <c r="AI73" s="84">
        <f t="shared" si="10"/>
        <v>0</v>
      </c>
    </row>
    <row r="74" spans="3:35" ht="27" customHeight="1" x14ac:dyDescent="0.3">
      <c r="C74" s="61">
        <v>1.5</v>
      </c>
      <c r="D74" s="81">
        <v>2.5</v>
      </c>
      <c r="E74" s="82">
        <f>SUMIFS(Dataset!AJ:AJ,Dataset!F:F,credito!$D$11,Dataset!AH:AH,"deposito",Dataset!T:T,"$",Dataset!J:J,"&lt;"&amp;$D74,Dataset!J:J,"&gt;="&amp;$C74)</f>
        <v>0</v>
      </c>
      <c r="F74" s="83">
        <f>SUMIFS(Dataset!AJ:AJ,Dataset!F:F,credito!$D$11,Dataset!AH:AH,"deposito",Dataset!T:T,"UF",Dataset!J:J,"&lt;"&amp;$D74,Dataset!J:J,"&gt;="&amp;$C74)</f>
        <v>0</v>
      </c>
      <c r="G74" s="83">
        <f>SUMIFS(Dataset!AJ:AJ,Dataset!F:F,credito!$D$11,Dataset!AH:AH,"bono de gobierno",Dataset!T:T,"$",Dataset!J:J,"&lt;"&amp;$D74,Dataset!J:J,"&gt;="&amp;$C74)</f>
        <v>0</v>
      </c>
      <c r="H74" s="83">
        <f>SUMIFS(Dataset!AJ:AJ,Dataset!F:F,credito!$D$11,Dataset!AH:AH,"bono de gobierno",Dataset!T:T,"UF",Dataset!J:J,"&lt;"&amp;$D74,Dataset!J:J,"&gt;="&amp;$C74)</f>
        <v>0</v>
      </c>
      <c r="I74" s="83">
        <f>SUMIFS(Dataset!AJ:AJ,Dataset!F:F,credito!$D$11,Dataset!AH:AH,"bono de gobierno",Dataset!T:T,"eu",Dataset!J:J,"&lt;"&amp;$D74,Dataset!J:J,"&gt;="&amp;$C74)</f>
        <v>0</v>
      </c>
      <c r="J74" s="83">
        <f>SUMIFS(Dataset!AJ:AJ,Dataset!F:F,credito!$D$11,Dataset!AH:AH,"bono de gobierno",Dataset!T:T,"mx",Dataset!J:J,"&lt;"&amp;$D74,Dataset!J:J,"&gt;="&amp;$C74)</f>
        <v>0</v>
      </c>
      <c r="K74" s="83">
        <f>SUMIFS(Dataset!AJ:AJ,Dataset!F:F,credito!$D$11,Dataset!AH:AH,"bono corporativo",Dataset!T:T,"$",Dataset!J:J,"&lt;"&amp;$D74,Dataset!J:J,"&gt;="&amp;$C74)</f>
        <v>1.6779559426830473E-2</v>
      </c>
      <c r="L74" s="83">
        <f>SUMIFS(Dataset!AJ:AJ,Dataset!F:F,credito!$D$11,Dataset!AH:AH,"bono corporativo",Dataset!T:T,"UF",Dataset!J:J,"&lt;"&amp;$D74,Dataset!J:J,"&gt;="&amp;$C74)</f>
        <v>-6.4183530833528304E-2</v>
      </c>
      <c r="M74" s="83">
        <f>SUMIFS(Dataset!AJ:AJ,Dataset!F:F,credito!$D$11,Dataset!AH:AH,"bono corporativo",Dataset!T:T,"US$",Dataset!J:J,"&lt;"&amp;$D74,Dataset!J:J,"&gt;="&amp;$C74)</f>
        <v>2.1520621580355661E-3</v>
      </c>
      <c r="N74" s="83">
        <f>SUMIFS(Dataset!AJ:AJ,Dataset!F:F,credito!$D$11,Dataset!J:J,"&lt;"&amp;$D74,Dataset!J:J,"&gt;="&amp;$C74,Dataset!AH:AH,"&lt;&gt;bono corporativo",Dataset!AH:AH,"&lt;&gt;bono de gobierno",Dataset!AH:AH,"&lt;&gt;deposito")</f>
        <v>0</v>
      </c>
      <c r="O74" s="84">
        <f t="shared" si="8"/>
        <v>-4.5251909248662264E-2</v>
      </c>
      <c r="P74" s="82">
        <f>SUMIFS(Dataset!AA:AA,Dataset!F:F,credito!$D$11,Dataset!AH:AH,"deposito",Dataset!T:T,"$",Dataset!J:J,"&lt;"&amp;$D74,Dataset!J:J,"&gt;="&amp;$C74)</f>
        <v>0</v>
      </c>
      <c r="Q74" s="83">
        <f>SUMIFS(Dataset!AA:AA,Dataset!F:F,credito!$D$11,Dataset!AH:AH,"deposito",Dataset!T:T,"UF",Dataset!J:J,"&lt;"&amp;$D74,Dataset!J:J,"&gt;="&amp;$C74)</f>
        <v>0</v>
      </c>
      <c r="R74" s="83">
        <f>SUMIFS(Dataset!AA:AA,Dataset!F:F,credito!$D$11,Dataset!AH:AH,"bono de gobierno",Dataset!T:T,"$",Dataset!J:J,"&lt;"&amp;$D74,Dataset!J:J,"&gt;="&amp;$C74)</f>
        <v>0</v>
      </c>
      <c r="S74" s="83">
        <f>SUMIFS(Dataset!AA:AA,Dataset!F:F,credito!$D$11,Dataset!AH:AH,"bono de gobierno",Dataset!T:T,"UF",Dataset!J:J,"&lt;"&amp;$D74,Dataset!J:J,"&gt;="&amp;$C74)</f>
        <v>0</v>
      </c>
      <c r="T74" s="83">
        <f>SUMIFS(Dataset!AA:AA,Dataset!F:F,credito!$D$11,Dataset!AH:AH,"bono de gobierno",Dataset!T:T,"EU",Dataset!J:J,"&lt;"&amp;$D74,Dataset!J:J,"&gt;="&amp;$C74)</f>
        <v>0</v>
      </c>
      <c r="U74" s="83">
        <f>SUMIFS(Dataset!AA:AA,Dataset!F:F,credito!$D$11,Dataset!AH:AH,"bono de gobierno",Dataset!T:T,"MX",Dataset!J:J,"&lt;"&amp;$D74,Dataset!J:J,"&gt;="&amp;$C74)</f>
        <v>0</v>
      </c>
      <c r="V74" s="83">
        <f>SUMIFS(Dataset!AA:AA,Dataset!F:F,credito!$D$11,Dataset!AH:AH,"bono corporativo",Dataset!T:T,"$",Dataset!J:J,"&lt;"&amp;$D74,Dataset!J:J,"&gt;="&amp;$C74)</f>
        <v>-7.6423356497717183E-4</v>
      </c>
      <c r="W74" s="83">
        <f>SUMIFS(Dataset!AA:AA,Dataset!F:F,credito!$D$11,Dataset!AH:AH,"bono corporativo",Dataset!T:T,"UF",Dataset!J:J,"&lt;"&amp;$D74,Dataset!J:J,"&gt;="&amp;$C74)</f>
        <v>4.4561101777404993E-2</v>
      </c>
      <c r="X74" s="83">
        <f>SUMIFS(Dataset!AA:AA,Dataset!F:F,credito!$D$11,Dataset!AH:AH,"bono corporativo",Dataset!T:T,"US$",Dataset!J:J,"&lt;"&amp;$D74,Dataset!J:J,"&gt;="&amp;$C74)</f>
        <v>2.3798562487739226E-2</v>
      </c>
      <c r="Y74" s="83">
        <f>SUMIFS(Dataset!AA:AA,Dataset!F:F,credito!$D$11,Dataset!J:J,"&lt;"&amp;$D74,Dataset!J:J,"&gt;="&amp;$C74,Dataset!AH:AH,"&lt;&gt;bono corporativo",Dataset!AH:AH,"&lt;&gt;bono de gobierno",Dataset!AH:AH,"&lt;&gt;deposito")</f>
        <v>0</v>
      </c>
      <c r="Z74" s="84">
        <f t="shared" si="9"/>
        <v>6.7595430700167047E-2</v>
      </c>
      <c r="AB74" s="61">
        <v>45</v>
      </c>
      <c r="AC74" s="100">
        <v>60</v>
      </c>
      <c r="AD74" s="101">
        <f>SUMIFS(Dataset!AJ:AJ,Dataset!F:F,credito!$D$11,Dataset!AH:AH,"deposito",Dataset!T:T,"$",Dataset!J:J,"&lt;"&amp;$AC74/365,Dataset!J:J,"&gt;="&amp;$AB74/365)</f>
        <v>0</v>
      </c>
      <c r="AE74" s="101">
        <f>SUMIFS(Dataset!AJ:AJ,Dataset!F:F,credito!$D$11,Dataset!AH:AH,"deposito",Dataset!T:T,"uf",Dataset!J:J,"&lt;"&amp;$AC74/365,Dataset!J:J,"&gt;="&amp;$AB74/365)</f>
        <v>0</v>
      </c>
      <c r="AF74" s="101">
        <f>SUMIFS(Dataset!AJ:AJ,Dataset!F:F,credito!$D$11,Dataset!AH:AH,"deposito",Dataset!T:T,"us$",Dataset!J:J,"&lt;"&amp;$AC74/365,Dataset!J:J,"&gt;="&amp;$AB74/365)</f>
        <v>0</v>
      </c>
      <c r="AG74" s="101">
        <f>SUMIFS(Dataset!AJ:AJ,Dataset!F:F,credito!$D$11,Dataset!AH:AH,"factura",Dataset!J:J,"&lt;"&amp;$AC74/365,Dataset!J:J,"&gt;="&amp;$AB74/365)</f>
        <v>2.0337028242032791E-3</v>
      </c>
      <c r="AH74" s="102">
        <f>SUMIFS(Dataset!AJ:AJ,Dataset!F:F,credito!$D$11,Dataset!AH:AH,"letra hipotecaria",Dataset!J:J,"&lt;"&amp;$AC74/365,Dataset!J:J,"&gt;="&amp;$AB74/365)</f>
        <v>0</v>
      </c>
      <c r="AI74" s="84">
        <f t="shared" si="10"/>
        <v>2.0337028242032791E-3</v>
      </c>
    </row>
    <row r="75" spans="3:35" ht="33" customHeight="1" x14ac:dyDescent="0.3">
      <c r="C75" s="61">
        <v>2.5</v>
      </c>
      <c r="D75" s="81">
        <v>3.5</v>
      </c>
      <c r="E75" s="82">
        <f>SUMIFS(Dataset!AJ:AJ,Dataset!F:F,credito!$D$11,Dataset!AH:AH,"deposito",Dataset!T:T,"$",Dataset!J:J,"&lt;"&amp;$D75,Dataset!J:J,"&gt;="&amp;$C75)</f>
        <v>0</v>
      </c>
      <c r="F75" s="83">
        <f>SUMIFS(Dataset!AJ:AJ,Dataset!F:F,credito!$D$11,Dataset!AH:AH,"deposito",Dataset!T:T,"UF",Dataset!J:J,"&lt;"&amp;$D75,Dataset!J:J,"&gt;="&amp;$C75)</f>
        <v>0</v>
      </c>
      <c r="G75" s="83">
        <f>SUMIFS(Dataset!AJ:AJ,Dataset!F:F,credito!$D$11,Dataset!AH:AH,"bono de gobierno",Dataset!T:T,"$",Dataset!J:J,"&lt;"&amp;$D75,Dataset!J:J,"&gt;="&amp;$C75)</f>
        <v>0</v>
      </c>
      <c r="H75" s="83">
        <f>SUMIFS(Dataset!AJ:AJ,Dataset!F:F,credito!$D$11,Dataset!AH:AH,"bono de gobierno",Dataset!T:T,"UF",Dataset!J:J,"&lt;"&amp;$D75,Dataset!J:J,"&gt;="&amp;$C75)</f>
        <v>1.7745935478991646E-2</v>
      </c>
      <c r="I75" s="83">
        <f>SUMIFS(Dataset!AJ:AJ,Dataset!F:F,credito!$D$11,Dataset!AH:AH,"bono de gobierno",Dataset!T:T,"eu",Dataset!J:J,"&lt;"&amp;$D75,Dataset!J:J,"&gt;="&amp;$C75)</f>
        <v>0</v>
      </c>
      <c r="J75" s="83">
        <f>SUMIFS(Dataset!AJ:AJ,Dataset!F:F,credito!$D$11,Dataset!AH:AH,"bono de gobierno",Dataset!T:T,"mx",Dataset!J:J,"&lt;"&amp;$D75,Dataset!J:J,"&gt;="&amp;$C75)</f>
        <v>0</v>
      </c>
      <c r="K75" s="83">
        <f>SUMIFS(Dataset!AJ:AJ,Dataset!F:F,credito!$D$11,Dataset!AH:AH,"bono corporativo",Dataset!T:T,"$",Dataset!J:J,"&lt;"&amp;$D75,Dataset!J:J,"&gt;="&amp;$C75)</f>
        <v>2.5859787923686851E-2</v>
      </c>
      <c r="L75" s="83">
        <f>SUMIFS(Dataset!AJ:AJ,Dataset!F:F,credito!$D$11,Dataset!AH:AH,"bono corporativo",Dataset!T:T,"UF",Dataset!J:J,"&lt;"&amp;$D75,Dataset!J:J,"&gt;="&amp;$C75)</f>
        <v>-5.1593206362231595E-2</v>
      </c>
      <c r="M75" s="83">
        <f>SUMIFS(Dataset!AJ:AJ,Dataset!F:F,credito!$D$11,Dataset!AH:AH,"bono corporativo",Dataset!T:T,"US$",Dataset!J:J,"&lt;"&amp;$D75,Dataset!J:J,"&gt;="&amp;$C75)</f>
        <v>5.5622297821367106E-3</v>
      </c>
      <c r="N75" s="83">
        <f>SUMIFS(Dataset!AJ:AJ,Dataset!F:F,credito!$D$11,Dataset!J:J,"&lt;"&amp;$D75,Dataset!J:J,"&gt;="&amp;$C75,Dataset!AH:AH,"&lt;&gt;bono corporativo",Dataset!AH:AH,"&lt;&gt;bono de gobierno",Dataset!AH:AH,"&lt;&gt;deposito")</f>
        <v>0</v>
      </c>
      <c r="O75" s="84">
        <f t="shared" si="8"/>
        <v>-2.4252531774163833E-3</v>
      </c>
      <c r="P75" s="82">
        <f>SUMIFS(Dataset!AA:AA,Dataset!F:F,credito!$D$11,Dataset!AH:AH,"deposito",Dataset!T:T,"$",Dataset!J:J,"&lt;"&amp;$D75,Dataset!J:J,"&gt;="&amp;$C75)</f>
        <v>0</v>
      </c>
      <c r="Q75" s="83">
        <f>SUMIFS(Dataset!AA:AA,Dataset!F:F,credito!$D$11,Dataset!AH:AH,"deposito",Dataset!T:T,"UF",Dataset!J:J,"&lt;"&amp;$D75,Dataset!J:J,"&gt;="&amp;$C75)</f>
        <v>0</v>
      </c>
      <c r="R75" s="83">
        <f>SUMIFS(Dataset!AA:AA,Dataset!F:F,credito!$D$11,Dataset!AH:AH,"bono de gobierno",Dataset!T:T,"$",Dataset!J:J,"&lt;"&amp;$D75,Dataset!J:J,"&gt;="&amp;$C75)</f>
        <v>0</v>
      </c>
      <c r="S75" s="83">
        <f>SUMIFS(Dataset!AA:AA,Dataset!F:F,credito!$D$11,Dataset!AH:AH,"bono de gobierno",Dataset!T:T,"UF",Dataset!J:J,"&lt;"&amp;$D75,Dataset!J:J,"&gt;="&amp;$C75)</f>
        <v>-2.168900661448657E-2</v>
      </c>
      <c r="T75" s="83">
        <f>SUMIFS(Dataset!AA:AA,Dataset!F:F,credito!$D$11,Dataset!AH:AH,"bono de gobierno",Dataset!T:T,"EU",Dataset!J:J,"&lt;"&amp;$D75,Dataset!J:J,"&gt;="&amp;$C75)</f>
        <v>0</v>
      </c>
      <c r="U75" s="83">
        <f>SUMIFS(Dataset!AA:AA,Dataset!F:F,credito!$D$11,Dataset!AH:AH,"bono de gobierno",Dataset!T:T,"MX",Dataset!J:J,"&lt;"&amp;$D75,Dataset!J:J,"&gt;="&amp;$C75)</f>
        <v>0</v>
      </c>
      <c r="V75" s="83">
        <f>SUMIFS(Dataset!AA:AA,Dataset!F:F,credito!$D$11,Dataset!AH:AH,"bono corporativo",Dataset!T:T,"$",Dataset!J:J,"&lt;"&amp;$D75,Dataset!J:J,"&gt;="&amp;$C75)</f>
        <v>8.2576095601126481E-3</v>
      </c>
      <c r="W75" s="83">
        <f>SUMIFS(Dataset!AA:AA,Dataset!F:F,credito!$D$11,Dataset!AH:AH,"bono corporativo",Dataset!T:T,"UF",Dataset!J:J,"&lt;"&amp;$D75,Dataset!J:J,"&gt;="&amp;$C75)</f>
        <v>9.570158672024065E-2</v>
      </c>
      <c r="X75" s="83">
        <f>SUMIFS(Dataset!AA:AA,Dataset!F:F,credito!$D$11,Dataset!AH:AH,"bono corporativo",Dataset!T:T,"US$",Dataset!J:J,"&lt;"&amp;$D75,Dataset!J:J,"&gt;="&amp;$C75)</f>
        <v>6.1509874399806708E-2</v>
      </c>
      <c r="Y75" s="83">
        <f>SUMIFS(Dataset!AA:AA,Dataset!F:F,credito!$D$11,Dataset!J:J,"&lt;"&amp;$D75,Dataset!J:J,"&gt;="&amp;$C75,Dataset!AH:AH,"&lt;&gt;bono corporativo",Dataset!AH:AH,"&lt;&gt;bono de gobierno",Dataset!AH:AH,"&lt;&gt;deposito")</f>
        <v>0</v>
      </c>
      <c r="Z75" s="84">
        <f t="shared" si="9"/>
        <v>0.14378006406567345</v>
      </c>
      <c r="AB75" s="61">
        <v>60</v>
      </c>
      <c r="AC75" s="100">
        <v>75</v>
      </c>
      <c r="AD75" s="101">
        <f>SUMIFS(Dataset!AJ:AJ,Dataset!F:F,credito!$D$11,Dataset!AH:AH,"deposito",Dataset!T:T,"$",Dataset!J:J,"&lt;"&amp;$AC75/365,Dataset!J:J,"&gt;="&amp;$AB75/365)</f>
        <v>0</v>
      </c>
      <c r="AE75" s="101">
        <f>SUMIFS(Dataset!AJ:AJ,Dataset!F:F,credito!$D$11,Dataset!AH:AH,"deposito",Dataset!T:T,"uf",Dataset!J:J,"&lt;"&amp;$AC75/365,Dataset!J:J,"&gt;="&amp;$AB75/365)</f>
        <v>0</v>
      </c>
      <c r="AF75" s="101">
        <f>SUMIFS(Dataset!AJ:AJ,Dataset!F:F,credito!$D$11,Dataset!AH:AH,"deposito",Dataset!T:T,"us$",Dataset!J:J,"&lt;"&amp;$AC75/365,Dataset!J:J,"&gt;="&amp;$AB75/365)</f>
        <v>0</v>
      </c>
      <c r="AG75" s="101">
        <f>SUMIFS(Dataset!AJ:AJ,Dataset!F:F,credito!$D$11,Dataset!AH:AH,"factura",Dataset!J:J,"&lt;"&amp;$AC75/365,Dataset!J:J,"&gt;="&amp;$AB75/365)</f>
        <v>2.2614757778811824E-4</v>
      </c>
      <c r="AH75" s="102">
        <f>SUMIFS(Dataset!AJ:AJ,Dataset!F:F,credito!$D$11,Dataset!AH:AH,"letra hipotecaria",Dataset!J:J,"&lt;"&amp;$AC75/365,Dataset!J:J,"&gt;="&amp;$AB75/365)</f>
        <v>0</v>
      </c>
      <c r="AI75" s="84">
        <f t="shared" si="10"/>
        <v>2.2614757778811824E-4</v>
      </c>
    </row>
    <row r="76" spans="3:35" ht="33" customHeight="1" x14ac:dyDescent="0.3">
      <c r="C76" s="61">
        <v>3.5</v>
      </c>
      <c r="D76" s="81">
        <v>4.5</v>
      </c>
      <c r="E76" s="82">
        <f>SUMIFS(Dataset!AJ:AJ,Dataset!F:F,credito!$D$11,Dataset!AH:AH,"deposito",Dataset!T:T,"$",Dataset!J:J,"&lt;"&amp;$D76,Dataset!J:J,"&gt;="&amp;$C76)</f>
        <v>0</v>
      </c>
      <c r="F76" s="83">
        <f>SUMIFS(Dataset!AJ:AJ,Dataset!F:F,credito!$D$11,Dataset!AH:AH,"deposito",Dataset!T:T,"UF",Dataset!J:J,"&lt;"&amp;$D76,Dataset!J:J,"&gt;="&amp;$C76)</f>
        <v>0</v>
      </c>
      <c r="G76" s="83">
        <f>SUMIFS(Dataset!AJ:AJ,Dataset!F:F,credito!$D$11,Dataset!AH:AH,"bono de gobierno",Dataset!T:T,"$",Dataset!J:J,"&lt;"&amp;$D76,Dataset!J:J,"&gt;="&amp;$C76)</f>
        <v>0</v>
      </c>
      <c r="H76" s="83">
        <f>SUMIFS(Dataset!AJ:AJ,Dataset!F:F,credito!$D$11,Dataset!AH:AH,"bono de gobierno",Dataset!T:T,"UF",Dataset!J:J,"&lt;"&amp;$D76,Dataset!J:J,"&gt;="&amp;$C76)</f>
        <v>0</v>
      </c>
      <c r="I76" s="83">
        <f>SUMIFS(Dataset!AJ:AJ,Dataset!F:F,credito!$D$11,Dataset!AH:AH,"bono de gobierno",Dataset!T:T,"eu",Dataset!J:J,"&lt;"&amp;$D76,Dataset!J:J,"&gt;="&amp;$C76)</f>
        <v>0</v>
      </c>
      <c r="J76" s="83">
        <f>SUMIFS(Dataset!AJ:AJ,Dataset!F:F,credito!$D$11,Dataset!AH:AH,"bono de gobierno",Dataset!T:T,"mx",Dataset!J:J,"&lt;"&amp;$D76,Dataset!J:J,"&gt;="&amp;$C76)</f>
        <v>0</v>
      </c>
      <c r="K76" s="83">
        <f>SUMIFS(Dataset!AJ:AJ,Dataset!F:F,credito!$D$11,Dataset!AH:AH,"bono corporativo",Dataset!T:T,"$",Dataset!J:J,"&lt;"&amp;$D76,Dataset!J:J,"&gt;="&amp;$C76)</f>
        <v>-1.2141528874829379E-2</v>
      </c>
      <c r="L76" s="83">
        <f>SUMIFS(Dataset!AJ:AJ,Dataset!F:F,credito!$D$11,Dataset!AH:AH,"bono corporativo",Dataset!T:T,"UF",Dataset!J:J,"&lt;"&amp;$D76,Dataset!J:J,"&gt;="&amp;$C76)</f>
        <v>-4.9865582032415728E-2</v>
      </c>
      <c r="M76" s="83">
        <f>SUMIFS(Dataset!AJ:AJ,Dataset!F:F,credito!$D$11,Dataset!AH:AH,"bono corporativo",Dataset!T:T,"US$",Dataset!J:J,"&lt;"&amp;$D76,Dataset!J:J,"&gt;="&amp;$C76)</f>
        <v>0</v>
      </c>
      <c r="N76" s="83">
        <f>SUMIFS(Dataset!AJ:AJ,Dataset!F:F,credito!$D$11,Dataset!J:J,"&lt;"&amp;$D76,Dataset!J:J,"&gt;="&amp;$C76,Dataset!AH:AH,"&lt;&gt;bono corporativo",Dataset!AH:AH,"&lt;&gt;bono de gobierno",Dataset!AH:AH,"&lt;&gt;deposito")</f>
        <v>0</v>
      </c>
      <c r="O76" s="84">
        <f t="shared" si="8"/>
        <v>-6.200711090724511E-2</v>
      </c>
      <c r="P76" s="82">
        <f>SUMIFS(Dataset!AA:AA,Dataset!F:F,credito!$D$11,Dataset!AH:AH,"deposito",Dataset!T:T,"$",Dataset!J:J,"&lt;"&amp;$D76,Dataset!J:J,"&gt;="&amp;$C76)</f>
        <v>0</v>
      </c>
      <c r="Q76" s="83">
        <f>SUMIFS(Dataset!AA:AA,Dataset!F:F,credito!$D$11,Dataset!AH:AH,"deposito",Dataset!T:T,"UF",Dataset!J:J,"&lt;"&amp;$D76,Dataset!J:J,"&gt;="&amp;$C76)</f>
        <v>0</v>
      </c>
      <c r="R76" s="83">
        <f>SUMIFS(Dataset!AA:AA,Dataset!F:F,credito!$D$11,Dataset!AH:AH,"bono de gobierno",Dataset!T:T,"$",Dataset!J:J,"&lt;"&amp;$D76,Dataset!J:J,"&gt;="&amp;$C76)</f>
        <v>0</v>
      </c>
      <c r="S76" s="83">
        <f>SUMIFS(Dataset!AA:AA,Dataset!F:F,credito!$D$11,Dataset!AH:AH,"bono de gobierno",Dataset!T:T,"UF",Dataset!J:J,"&lt;"&amp;$D76,Dataset!J:J,"&gt;="&amp;$C76)</f>
        <v>0</v>
      </c>
      <c r="T76" s="83">
        <f>SUMIFS(Dataset!AA:AA,Dataset!F:F,credito!$D$11,Dataset!AH:AH,"bono de gobierno",Dataset!T:T,"EU",Dataset!J:J,"&lt;"&amp;$D76,Dataset!J:J,"&gt;="&amp;$C76)</f>
        <v>0</v>
      </c>
      <c r="U76" s="83">
        <f>SUMIFS(Dataset!AA:AA,Dataset!F:F,credito!$D$11,Dataset!AH:AH,"bono de gobierno",Dataset!T:T,"MX",Dataset!J:J,"&lt;"&amp;$D76,Dataset!J:J,"&gt;="&amp;$C76)</f>
        <v>0</v>
      </c>
      <c r="V76" s="83">
        <f>SUMIFS(Dataset!AA:AA,Dataset!F:F,credito!$D$11,Dataset!AH:AH,"bono corporativo",Dataset!T:T,"$",Dataset!J:J,"&lt;"&amp;$D76,Dataset!J:J,"&gt;="&amp;$C76)</f>
        <v>2.2654398639248983E-2</v>
      </c>
      <c r="W76" s="83">
        <f>SUMIFS(Dataset!AA:AA,Dataset!F:F,credito!$D$11,Dataset!AH:AH,"bono corporativo",Dataset!T:T,"UF",Dataset!J:J,"&lt;"&amp;$D76,Dataset!J:J,"&gt;="&amp;$C76)</f>
        <v>9.9402363363629398E-2</v>
      </c>
      <c r="X76" s="83">
        <f>SUMIFS(Dataset!AA:AA,Dataset!F:F,credito!$D$11,Dataset!AH:AH,"bono corporativo",Dataset!T:T,"US$",Dataset!J:J,"&lt;"&amp;$D76,Dataset!J:J,"&gt;="&amp;$C76)</f>
        <v>0</v>
      </c>
      <c r="Y76" s="83">
        <f>SUMIFS(Dataset!AA:AA,Dataset!F:F,credito!$D$11,Dataset!J:J,"&lt;"&amp;$D76,Dataset!J:J,"&gt;="&amp;$C76,Dataset!AH:AH,"&lt;&gt;bono corporativo",Dataset!AH:AH,"&lt;&gt;bono de gobierno",Dataset!AH:AH,"&lt;&gt;deposito")</f>
        <v>0</v>
      </c>
      <c r="Z76" s="84">
        <f t="shared" si="9"/>
        <v>0.12205676200287838</v>
      </c>
      <c r="AB76" s="61">
        <v>75</v>
      </c>
      <c r="AC76" s="100">
        <v>90</v>
      </c>
      <c r="AD76" s="101">
        <f>SUMIFS(Dataset!AJ:AJ,Dataset!F:F,credito!$D$11,Dataset!AH:AH,"deposito",Dataset!T:T,"$",Dataset!J:J,"&lt;"&amp;$AC76/365,Dataset!J:J,"&gt;="&amp;$AB76/365)</f>
        <v>0</v>
      </c>
      <c r="AE76" s="101">
        <f>SUMIFS(Dataset!AJ:AJ,Dataset!F:F,credito!$D$11,Dataset!AH:AH,"deposito",Dataset!T:T,"uf",Dataset!J:J,"&lt;"&amp;$AC76/365,Dataset!J:J,"&gt;="&amp;$AB76/365)</f>
        <v>0</v>
      </c>
      <c r="AF76" s="101">
        <f>SUMIFS(Dataset!AJ:AJ,Dataset!F:F,credito!$D$11,Dataset!AH:AH,"deposito",Dataset!T:T,"us$",Dataset!J:J,"&lt;"&amp;$AC76/365,Dataset!J:J,"&gt;="&amp;$AB76/365)</f>
        <v>0</v>
      </c>
      <c r="AG76" s="101">
        <f>SUMIFS(Dataset!AJ:AJ,Dataset!F:F,credito!$D$11,Dataset!AH:AH,"factura",Dataset!J:J,"&lt;"&amp;$AC76/365,Dataset!J:J,"&gt;="&amp;$AB76/365)</f>
        <v>0</v>
      </c>
      <c r="AH76" s="102">
        <f>SUMIFS(Dataset!AJ:AJ,Dataset!F:F,credito!$D$11,Dataset!AH:AH,"letra hipotecaria",Dataset!J:J,"&lt;"&amp;$AC76/365,Dataset!J:J,"&gt;="&amp;$AB76/365)</f>
        <v>0</v>
      </c>
      <c r="AI76" s="84">
        <f t="shared" si="10"/>
        <v>0</v>
      </c>
    </row>
    <row r="77" spans="3:35" ht="33" customHeight="1" x14ac:dyDescent="0.3">
      <c r="C77" s="61">
        <v>4.5</v>
      </c>
      <c r="D77" s="81">
        <v>5.5</v>
      </c>
      <c r="E77" s="82">
        <f>SUMIFS(Dataset!AJ:AJ,Dataset!F:F,credito!$D$11,Dataset!AH:AH,"deposito",Dataset!T:T,"$",Dataset!J:J,"&lt;"&amp;$D77,Dataset!J:J,"&gt;="&amp;$C77)</f>
        <v>0</v>
      </c>
      <c r="F77" s="83">
        <f>SUMIFS(Dataset!AJ:AJ,Dataset!F:F,credito!$D$11,Dataset!AH:AH,"deposito",Dataset!T:T,"UF",Dataset!J:J,"&lt;"&amp;$D77,Dataset!J:J,"&gt;="&amp;$C77)</f>
        <v>0</v>
      </c>
      <c r="G77" s="83">
        <f>SUMIFS(Dataset!AJ:AJ,Dataset!F:F,credito!$D$11,Dataset!AH:AH,"bono de gobierno",Dataset!T:T,"$",Dataset!J:J,"&lt;"&amp;$D77,Dataset!J:J,"&gt;="&amp;$C77)</f>
        <v>0</v>
      </c>
      <c r="H77" s="83">
        <f>SUMIFS(Dataset!AJ:AJ,Dataset!F:F,credito!$D$11,Dataset!AH:AH,"bono de gobierno",Dataset!T:T,"UF",Dataset!J:J,"&lt;"&amp;$D77,Dataset!J:J,"&gt;="&amp;$C77)</f>
        <v>0</v>
      </c>
      <c r="I77" s="83">
        <f>SUMIFS(Dataset!AJ:AJ,Dataset!F:F,credito!$D$11,Dataset!AH:AH,"bono de gobierno",Dataset!T:T,"eu",Dataset!J:J,"&lt;"&amp;$D77,Dataset!J:J,"&gt;="&amp;$C77)</f>
        <v>0</v>
      </c>
      <c r="J77" s="83">
        <f>SUMIFS(Dataset!AJ:AJ,Dataset!F:F,credito!$D$11,Dataset!AH:AH,"bono de gobierno",Dataset!T:T,"mx",Dataset!J:J,"&lt;"&amp;$D77,Dataset!J:J,"&gt;="&amp;$C77)</f>
        <v>0</v>
      </c>
      <c r="K77" s="83">
        <f>SUMIFS(Dataset!AJ:AJ,Dataset!F:F,credito!$D$11,Dataset!AH:AH,"bono corporativo",Dataset!T:T,"$",Dataset!J:J,"&lt;"&amp;$D77,Dataset!J:J,"&gt;="&amp;$C77)</f>
        <v>0</v>
      </c>
      <c r="L77" s="83">
        <f>SUMIFS(Dataset!AJ:AJ,Dataset!F:F,credito!$D$11,Dataset!AH:AH,"bono corporativo",Dataset!T:T,"UF",Dataset!J:J,"&lt;"&amp;$D77,Dataset!J:J,"&gt;="&amp;$C77)</f>
        <v>-5.4736653271071578E-2</v>
      </c>
      <c r="M77" s="83">
        <f>SUMIFS(Dataset!AJ:AJ,Dataset!F:F,credito!$D$11,Dataset!AH:AH,"bono corporativo",Dataset!T:T,"US$",Dataset!J:J,"&lt;"&amp;$D77,Dataset!J:J,"&gt;="&amp;$C77)</f>
        <v>1.5543357186923073E-2</v>
      </c>
      <c r="N77" s="83">
        <f>SUMIFS(Dataset!AJ:AJ,Dataset!F:F,credito!$D$11,Dataset!J:J,"&lt;"&amp;$D77,Dataset!J:J,"&gt;="&amp;$C77,Dataset!AH:AH,"&lt;&gt;bono corporativo",Dataset!AH:AH,"&lt;&gt;bono de gobierno",Dataset!AH:AH,"&lt;&gt;deposito")</f>
        <v>0</v>
      </c>
      <c r="O77" s="84">
        <f t="shared" si="8"/>
        <v>-3.9193296084148503E-2</v>
      </c>
      <c r="P77" s="82">
        <f>SUMIFS(Dataset!AA:AA,Dataset!F:F,credito!$D$11,Dataset!AH:AH,"deposito",Dataset!T:T,"$",Dataset!J:J,"&lt;"&amp;$D77,Dataset!J:J,"&gt;="&amp;$C77)</f>
        <v>0</v>
      </c>
      <c r="Q77" s="83">
        <f>SUMIFS(Dataset!AA:AA,Dataset!F:F,credito!$D$11,Dataset!AH:AH,"deposito",Dataset!T:T,"UF",Dataset!J:J,"&lt;"&amp;$D77,Dataset!J:J,"&gt;="&amp;$C77)</f>
        <v>0</v>
      </c>
      <c r="R77" s="83">
        <f>SUMIFS(Dataset!AA:AA,Dataset!F:F,credito!$D$11,Dataset!AH:AH,"bono de gobierno",Dataset!T:T,"$",Dataset!J:J,"&lt;"&amp;$D77,Dataset!J:J,"&gt;="&amp;$C77)</f>
        <v>0</v>
      </c>
      <c r="S77" s="83">
        <f>SUMIFS(Dataset!AA:AA,Dataset!F:F,credito!$D$11,Dataset!AH:AH,"bono de gobierno",Dataset!T:T,"UF",Dataset!J:J,"&lt;"&amp;$D77,Dataset!J:J,"&gt;="&amp;$C77)</f>
        <v>0</v>
      </c>
      <c r="T77" s="83">
        <f>SUMIFS(Dataset!AA:AA,Dataset!F:F,credito!$D$11,Dataset!AH:AH,"bono de gobierno",Dataset!T:T,"EU",Dataset!J:J,"&lt;"&amp;$D77,Dataset!J:J,"&gt;="&amp;$C77)</f>
        <v>0</v>
      </c>
      <c r="U77" s="83">
        <f>SUMIFS(Dataset!AA:AA,Dataset!F:F,credito!$D$11,Dataset!AH:AH,"bono de gobierno",Dataset!T:T,"MX",Dataset!J:J,"&lt;"&amp;$D77,Dataset!J:J,"&gt;="&amp;$C77)</f>
        <v>0</v>
      </c>
      <c r="V77" s="83">
        <f>SUMIFS(Dataset!AA:AA,Dataset!F:F,credito!$D$11,Dataset!AH:AH,"bono corporativo",Dataset!T:T,"$",Dataset!J:J,"&lt;"&amp;$D77,Dataset!J:J,"&gt;="&amp;$C77)</f>
        <v>0</v>
      </c>
      <c r="W77" s="83">
        <f>SUMIFS(Dataset!AA:AA,Dataset!F:F,credito!$D$11,Dataset!AH:AH,"bono corporativo",Dataset!T:T,"UF",Dataset!J:J,"&lt;"&amp;$D77,Dataset!J:J,"&gt;="&amp;$C77)</f>
        <v>0.14578086681188063</v>
      </c>
      <c r="X77" s="83">
        <f>SUMIFS(Dataset!AA:AA,Dataset!F:F,credito!$D$11,Dataset!AH:AH,"bono corporativo",Dataset!T:T,"US$",Dataset!J:J,"&lt;"&amp;$D77,Dataset!J:J,"&gt;="&amp;$C77)</f>
        <v>0.17188609348528214</v>
      </c>
      <c r="Y77" s="83">
        <f>SUMIFS(Dataset!AA:AA,Dataset!F:F,credito!$D$11,Dataset!J:J,"&lt;"&amp;$D77,Dataset!J:J,"&gt;="&amp;$C77,Dataset!AH:AH,"&lt;&gt;bono corporativo",Dataset!AH:AH,"&lt;&gt;bono de gobierno",Dataset!AH:AH,"&lt;&gt;deposito")</f>
        <v>0</v>
      </c>
      <c r="Z77" s="84">
        <f t="shared" si="9"/>
        <v>0.31766696029716279</v>
      </c>
      <c r="AB77" s="61">
        <v>90</v>
      </c>
      <c r="AC77" s="100">
        <v>105</v>
      </c>
      <c r="AD77" s="101">
        <f>SUMIFS(Dataset!AJ:AJ,Dataset!F:F,credito!$D$11,Dataset!AH:AH,"deposito",Dataset!T:T,"$",Dataset!J:J,"&lt;"&amp;$AC77/365,Dataset!J:J,"&gt;="&amp;$AB77/365)</f>
        <v>0</v>
      </c>
      <c r="AE77" s="101">
        <f>SUMIFS(Dataset!AJ:AJ,Dataset!F:F,credito!$D$11,Dataset!AH:AH,"deposito",Dataset!T:T,"uf",Dataset!J:J,"&lt;"&amp;$AC77/365,Dataset!J:J,"&gt;="&amp;$AB77/365)</f>
        <v>0</v>
      </c>
      <c r="AF77" s="101">
        <f>SUMIFS(Dataset!AJ:AJ,Dataset!F:F,credito!$D$11,Dataset!AH:AH,"deposito",Dataset!T:T,"us$",Dataset!J:J,"&lt;"&amp;$AC77/365,Dataset!J:J,"&gt;="&amp;$AB77/365)</f>
        <v>0</v>
      </c>
      <c r="AG77" s="101">
        <f>SUMIFS(Dataset!AJ:AJ,Dataset!F:F,credito!$D$11,Dataset!AH:AH,"factura",Dataset!J:J,"&lt;"&amp;$AC77/365,Dataset!J:J,"&gt;="&amp;$AB77/365)</f>
        <v>0</v>
      </c>
      <c r="AH77" s="102">
        <f>SUMIFS(Dataset!AJ:AJ,Dataset!F:F,credito!$D$11,Dataset!AH:AH,"letra hipotecaria",Dataset!J:J,"&lt;"&amp;$AC77/365,Dataset!J:J,"&gt;="&amp;$AB77/365)</f>
        <v>0</v>
      </c>
      <c r="AI77" s="84">
        <f t="shared" si="10"/>
        <v>0</v>
      </c>
    </row>
    <row r="78" spans="3:35" ht="33" customHeight="1" x14ac:dyDescent="0.3">
      <c r="C78" s="61">
        <v>5.5</v>
      </c>
      <c r="D78" s="81">
        <v>6.5</v>
      </c>
      <c r="E78" s="82">
        <f>SUMIFS(Dataset!AJ:AJ,Dataset!F:F,credito!$D$11,Dataset!AH:AH,"deposito",Dataset!T:T,"$",Dataset!J:J,"&lt;"&amp;$D78,Dataset!J:J,"&gt;="&amp;$C78)</f>
        <v>0</v>
      </c>
      <c r="F78" s="83">
        <f>SUMIFS(Dataset!AJ:AJ,Dataset!F:F,credito!$D$11,Dataset!AH:AH,"deposito",Dataset!T:T,"UF",Dataset!J:J,"&lt;"&amp;$D78,Dataset!J:J,"&gt;="&amp;$C78)</f>
        <v>0</v>
      </c>
      <c r="G78" s="83">
        <f>SUMIFS(Dataset!AJ:AJ,Dataset!F:F,credito!$D$11,Dataset!AH:AH,"bono de gobierno",Dataset!T:T,"$",Dataset!J:J,"&lt;"&amp;$D78,Dataset!J:J,"&gt;="&amp;$C78)</f>
        <v>0</v>
      </c>
      <c r="H78" s="83">
        <f>SUMIFS(Dataset!AJ:AJ,Dataset!F:F,credito!$D$11,Dataset!AH:AH,"bono de gobierno",Dataset!T:T,"UF",Dataset!J:J,"&lt;"&amp;$D78,Dataset!J:J,"&gt;="&amp;$C78)</f>
        <v>0</v>
      </c>
      <c r="I78" s="83">
        <f>SUMIFS(Dataset!AJ:AJ,Dataset!F:F,credito!$D$11,Dataset!AH:AH,"bono de gobierno",Dataset!T:T,"eu",Dataset!J:J,"&lt;"&amp;$D78,Dataset!J:J,"&gt;="&amp;$C78)</f>
        <v>0</v>
      </c>
      <c r="J78" s="83">
        <f>SUMIFS(Dataset!AJ:AJ,Dataset!F:F,credito!$D$11,Dataset!AH:AH,"bono de gobierno",Dataset!T:T,"mx",Dataset!J:J,"&lt;"&amp;$D78,Dataset!J:J,"&gt;="&amp;$C78)</f>
        <v>0</v>
      </c>
      <c r="K78" s="83">
        <f>SUMIFS(Dataset!AJ:AJ,Dataset!F:F,credito!$D$11,Dataset!AH:AH,"bono corporativo",Dataset!T:T,"$",Dataset!J:J,"&lt;"&amp;$D78,Dataset!J:J,"&gt;="&amp;$C78)</f>
        <v>0</v>
      </c>
      <c r="L78" s="83">
        <f>SUMIFS(Dataset!AJ:AJ,Dataset!F:F,credito!$D$11,Dataset!AH:AH,"bono corporativo",Dataset!T:T,"UF",Dataset!J:J,"&lt;"&amp;$D78,Dataset!J:J,"&gt;="&amp;$C78)</f>
        <v>5.1542887539814349E-2</v>
      </c>
      <c r="M78" s="83">
        <f>SUMIFS(Dataset!AJ:AJ,Dataset!F:F,credito!$D$11,Dataset!AH:AH,"bono corporativo",Dataset!T:T,"US$",Dataset!J:J,"&lt;"&amp;$D78,Dataset!J:J,"&gt;="&amp;$C78)</f>
        <v>3.3675709702666373E-3</v>
      </c>
      <c r="N78" s="83">
        <f>SUMIFS(Dataset!AJ:AJ,Dataset!F:F,credito!$D$11,Dataset!J:J,"&lt;"&amp;$D78,Dataset!J:J,"&gt;="&amp;$C78,Dataset!AH:AH,"&lt;&gt;bono corporativo",Dataset!AH:AH,"&lt;&gt;bono de gobierno",Dataset!AH:AH,"&lt;&gt;deposito")</f>
        <v>0</v>
      </c>
      <c r="O78" s="84">
        <f t="shared" si="8"/>
        <v>5.4910458510080987E-2</v>
      </c>
      <c r="P78" s="82">
        <f>SUMIFS(Dataset!AA:AA,Dataset!F:F,credito!$D$11,Dataset!AH:AH,"deposito",Dataset!T:T,"$",Dataset!J:J,"&lt;"&amp;$D78,Dataset!J:J,"&gt;="&amp;$C78)</f>
        <v>0</v>
      </c>
      <c r="Q78" s="83">
        <f>SUMIFS(Dataset!AA:AA,Dataset!F:F,credito!$D$11,Dataset!AH:AH,"deposito",Dataset!T:T,"UF",Dataset!J:J,"&lt;"&amp;$D78,Dataset!J:J,"&gt;="&amp;$C78)</f>
        <v>0</v>
      </c>
      <c r="R78" s="83">
        <f>SUMIFS(Dataset!AA:AA,Dataset!F:F,credito!$D$11,Dataset!AH:AH,"bono de gobierno",Dataset!T:T,"$",Dataset!J:J,"&lt;"&amp;$D78,Dataset!J:J,"&gt;="&amp;$C78)</f>
        <v>0</v>
      </c>
      <c r="S78" s="83">
        <f>SUMIFS(Dataset!AA:AA,Dataset!F:F,credito!$D$11,Dataset!AH:AH,"bono de gobierno",Dataset!T:T,"UF",Dataset!J:J,"&lt;"&amp;$D78,Dataset!J:J,"&gt;="&amp;$C78)</f>
        <v>0</v>
      </c>
      <c r="T78" s="83">
        <f>SUMIFS(Dataset!AA:AA,Dataset!F:F,credito!$D$11,Dataset!AH:AH,"bono de gobierno",Dataset!T:T,"EU",Dataset!J:J,"&lt;"&amp;$D78,Dataset!J:J,"&gt;="&amp;$C78)</f>
        <v>0</v>
      </c>
      <c r="U78" s="83">
        <f>SUMIFS(Dataset!AA:AA,Dataset!F:F,credito!$D$11,Dataset!AH:AH,"bono de gobierno",Dataset!T:T,"MX",Dataset!J:J,"&lt;"&amp;$D78,Dataset!J:J,"&gt;="&amp;$C78)</f>
        <v>0</v>
      </c>
      <c r="V78" s="83">
        <f>SUMIFS(Dataset!AA:AA,Dataset!F:F,credito!$D$11,Dataset!AH:AH,"bono corporativo",Dataset!T:T,"$",Dataset!J:J,"&lt;"&amp;$D78,Dataset!J:J,"&gt;="&amp;$C78)</f>
        <v>0</v>
      </c>
      <c r="W78" s="83">
        <f>SUMIFS(Dataset!AA:AA,Dataset!F:F,credito!$D$11,Dataset!AH:AH,"bono corporativo",Dataset!T:T,"UF",Dataset!J:J,"&lt;"&amp;$D78,Dataset!J:J,"&gt;="&amp;$C78)</f>
        <v>5.5186506071696742E-2</v>
      </c>
      <c r="X78" s="83">
        <f>SUMIFS(Dataset!AA:AA,Dataset!F:F,credito!$D$11,Dataset!AH:AH,"bono corporativo",Dataset!T:T,"US$",Dataset!J:J,"&lt;"&amp;$D78,Dataset!J:J,"&gt;="&amp;$C78)</f>
        <v>3.72402571498879E-2</v>
      </c>
      <c r="Y78" s="83">
        <f>SUMIFS(Dataset!AA:AA,Dataset!F:F,credito!$D$11,Dataset!J:J,"&lt;"&amp;$D78,Dataset!J:J,"&gt;="&amp;$C78,Dataset!AH:AH,"&lt;&gt;bono corporativo",Dataset!AH:AH,"&lt;&gt;bono de gobierno",Dataset!AH:AH,"&lt;&gt;deposito")</f>
        <v>0</v>
      </c>
      <c r="Z78" s="84">
        <f t="shared" si="9"/>
        <v>9.2426763221584635E-2</v>
      </c>
      <c r="AB78" s="61">
        <v>105</v>
      </c>
      <c r="AC78" s="100">
        <v>120</v>
      </c>
      <c r="AD78" s="101">
        <f>SUMIFS(Dataset!AJ:AJ,Dataset!F:F,credito!$D$11,Dataset!AH:AH,"deposito",Dataset!T:T,"$",Dataset!J:J,"&lt;"&amp;$AC78/365,Dataset!J:J,"&gt;="&amp;$AB78/365)</f>
        <v>0</v>
      </c>
      <c r="AE78" s="101">
        <f>SUMIFS(Dataset!AJ:AJ,Dataset!F:F,credito!$D$11,Dataset!AH:AH,"deposito",Dataset!T:T,"uf",Dataset!J:J,"&lt;"&amp;$AC78/365,Dataset!J:J,"&gt;="&amp;$AB78/365)</f>
        <v>0</v>
      </c>
      <c r="AF78" s="101">
        <f>SUMIFS(Dataset!AJ:AJ,Dataset!F:F,credito!$D$11,Dataset!AH:AH,"deposito",Dataset!T:T,"us$",Dataset!J:J,"&lt;"&amp;$AC78/365,Dataset!J:J,"&gt;="&amp;$AB78/365)</f>
        <v>0</v>
      </c>
      <c r="AG78" s="101">
        <f>SUMIFS(Dataset!AJ:AJ,Dataset!F:F,credito!$D$11,Dataset!AH:AH,"factura",Dataset!J:J,"&lt;"&amp;$AC78/365,Dataset!J:J,"&gt;="&amp;$AB78/365)</f>
        <v>2.7124233090604489E-3</v>
      </c>
      <c r="AH78" s="102">
        <f>SUMIFS(Dataset!AJ:AJ,Dataset!F:F,credito!$D$11,Dataset!AH:AH,"letra hipotecaria",Dataset!J:J,"&lt;"&amp;$AC78/365,Dataset!J:J,"&gt;="&amp;$AB78/365)</f>
        <v>0</v>
      </c>
      <c r="AI78" s="84">
        <f t="shared" si="10"/>
        <v>2.7124233090604489E-3</v>
      </c>
    </row>
    <row r="79" spans="3:35" ht="33" customHeight="1" x14ac:dyDescent="0.3">
      <c r="C79" s="61">
        <v>6.5</v>
      </c>
      <c r="D79" s="81">
        <v>7.5</v>
      </c>
      <c r="E79" s="82">
        <f>SUMIFS(Dataset!AJ:AJ,Dataset!F:F,credito!$D$11,Dataset!AH:AH,"deposito",Dataset!T:T,"$",Dataset!J:J,"&lt;"&amp;$D79,Dataset!J:J,"&gt;="&amp;$C79)</f>
        <v>0</v>
      </c>
      <c r="F79" s="83">
        <f>SUMIFS(Dataset!AJ:AJ,Dataset!F:F,credito!$D$11,Dataset!AH:AH,"deposito",Dataset!T:T,"UF",Dataset!J:J,"&lt;"&amp;$D79,Dataset!J:J,"&gt;="&amp;$C79)</f>
        <v>0</v>
      </c>
      <c r="G79" s="83">
        <f>SUMIFS(Dataset!AJ:AJ,Dataset!F:F,credito!$D$11,Dataset!AH:AH,"bono de gobierno",Dataset!T:T,"$",Dataset!J:J,"&lt;"&amp;$D79,Dataset!J:J,"&gt;="&amp;$C79)</f>
        <v>0</v>
      </c>
      <c r="H79" s="83">
        <f>SUMIFS(Dataset!AJ:AJ,Dataset!F:F,credito!$D$11,Dataset!AH:AH,"bono de gobierno",Dataset!T:T,"UF",Dataset!J:J,"&lt;"&amp;$D79,Dataset!J:J,"&gt;="&amp;$C79)</f>
        <v>0</v>
      </c>
      <c r="I79" s="83">
        <f>SUMIFS(Dataset!AJ:AJ,Dataset!F:F,credito!$D$11,Dataset!AH:AH,"bono de gobierno",Dataset!T:T,"eu",Dataset!J:J,"&lt;"&amp;$D79,Dataset!J:J,"&gt;="&amp;$C79)</f>
        <v>0</v>
      </c>
      <c r="J79" s="83">
        <f>SUMIFS(Dataset!AJ:AJ,Dataset!F:F,credito!$D$11,Dataset!AH:AH,"bono de gobierno",Dataset!T:T,"mx",Dataset!J:J,"&lt;"&amp;$D79,Dataset!J:J,"&gt;="&amp;$C79)</f>
        <v>0</v>
      </c>
      <c r="K79" s="83">
        <f>SUMIFS(Dataset!AJ:AJ,Dataset!F:F,credito!$D$11,Dataset!AH:AH,"bono corporativo",Dataset!T:T,"$",Dataset!J:J,"&lt;"&amp;$D79,Dataset!J:J,"&gt;="&amp;$C79)</f>
        <v>0</v>
      </c>
      <c r="L79" s="83">
        <f>SUMIFS(Dataset!AJ:AJ,Dataset!F:F,credito!$D$11,Dataset!AH:AH,"bono corporativo",Dataset!T:T,"UF",Dataset!J:J,"&lt;"&amp;$D79,Dataset!J:J,"&gt;="&amp;$C79)</f>
        <v>4.989928210326277E-2</v>
      </c>
      <c r="M79" s="83">
        <f>SUMIFS(Dataset!AJ:AJ,Dataset!F:F,credito!$D$11,Dataset!AH:AH,"bono corporativo",Dataset!T:T,"US$",Dataset!J:J,"&lt;"&amp;$D79,Dataset!J:J,"&gt;="&amp;$C79)</f>
        <v>0</v>
      </c>
      <c r="N79" s="83">
        <f>SUMIFS(Dataset!AJ:AJ,Dataset!F:F,credito!$D$11,Dataset!J:J,"&lt;"&amp;$D79,Dataset!J:J,"&gt;="&amp;$C79,Dataset!AH:AH,"&lt;&gt;bono corporativo",Dataset!AH:AH,"&lt;&gt;bono de gobierno",Dataset!AH:AH,"&lt;&gt;deposito")</f>
        <v>0</v>
      </c>
      <c r="O79" s="84">
        <f t="shared" si="8"/>
        <v>4.989928210326277E-2</v>
      </c>
      <c r="P79" s="82">
        <f>SUMIFS(Dataset!AA:AA,Dataset!F:F,credito!$D$11,Dataset!AH:AH,"deposito",Dataset!T:T,"$",Dataset!J:J,"&lt;"&amp;$D79,Dataset!J:J,"&gt;="&amp;$C79)</f>
        <v>0</v>
      </c>
      <c r="Q79" s="83">
        <f>SUMIFS(Dataset!AA:AA,Dataset!F:F,credito!$D$11,Dataset!AH:AH,"deposito",Dataset!T:T,"UF",Dataset!J:J,"&lt;"&amp;$D79,Dataset!J:J,"&gt;="&amp;$C79)</f>
        <v>0</v>
      </c>
      <c r="R79" s="83">
        <f>SUMIFS(Dataset!AA:AA,Dataset!F:F,credito!$D$11,Dataset!AH:AH,"bono de gobierno",Dataset!T:T,"$",Dataset!J:J,"&lt;"&amp;$D79,Dataset!J:J,"&gt;="&amp;$C79)</f>
        <v>0</v>
      </c>
      <c r="S79" s="83">
        <f>SUMIFS(Dataset!AA:AA,Dataset!F:F,credito!$D$11,Dataset!AH:AH,"bono de gobierno",Dataset!T:T,"UF",Dataset!J:J,"&lt;"&amp;$D79,Dataset!J:J,"&gt;="&amp;$C79)</f>
        <v>0</v>
      </c>
      <c r="T79" s="83">
        <f>SUMIFS(Dataset!AA:AA,Dataset!F:F,credito!$D$11,Dataset!AH:AH,"bono de gobierno",Dataset!T:T,"EU",Dataset!J:J,"&lt;"&amp;$D79,Dataset!J:J,"&gt;="&amp;$C79)</f>
        <v>0</v>
      </c>
      <c r="U79" s="83">
        <f>SUMIFS(Dataset!AA:AA,Dataset!F:F,credito!$D$11,Dataset!AH:AH,"bono de gobierno",Dataset!T:T,"MX",Dataset!J:J,"&lt;"&amp;$D79,Dataset!J:J,"&gt;="&amp;$C79)</f>
        <v>0</v>
      </c>
      <c r="V79" s="83">
        <f>SUMIFS(Dataset!AA:AA,Dataset!F:F,credito!$D$11,Dataset!AH:AH,"bono corporativo",Dataset!T:T,"$",Dataset!J:J,"&lt;"&amp;$D79,Dataset!J:J,"&gt;="&amp;$C79)</f>
        <v>0</v>
      </c>
      <c r="W79" s="83">
        <f>SUMIFS(Dataset!AA:AA,Dataset!F:F,credito!$D$11,Dataset!AH:AH,"bono corporativo",Dataset!T:T,"UF",Dataset!J:J,"&lt;"&amp;$D79,Dataset!J:J,"&gt;="&amp;$C79)</f>
        <v>2.6948312174649241E-3</v>
      </c>
      <c r="X79" s="83">
        <f>SUMIFS(Dataset!AA:AA,Dataset!F:F,credito!$D$11,Dataset!AH:AH,"bono corporativo",Dataset!T:T,"US$",Dataset!J:J,"&lt;"&amp;$D79,Dataset!J:J,"&gt;="&amp;$C79)</f>
        <v>0</v>
      </c>
      <c r="Y79" s="83">
        <f>SUMIFS(Dataset!AA:AA,Dataset!F:F,credito!$D$11,Dataset!J:J,"&lt;"&amp;$D79,Dataset!J:J,"&gt;="&amp;$C79,Dataset!AH:AH,"&lt;&gt;bono corporativo",Dataset!AH:AH,"&lt;&gt;bono de gobierno",Dataset!AH:AH,"&lt;&gt;deposito")</f>
        <v>0</v>
      </c>
      <c r="Z79" s="84">
        <f t="shared" si="9"/>
        <v>2.6948312174649241E-3</v>
      </c>
      <c r="AB79" s="61">
        <v>120</v>
      </c>
      <c r="AC79" s="100">
        <v>135</v>
      </c>
      <c r="AD79" s="101">
        <f>SUMIFS(Dataset!AJ:AJ,Dataset!F:F,credito!$D$11,Dataset!AH:AH,"deposito",Dataset!T:T,"$",Dataset!J:J,"&lt;"&amp;$AC79/365,Dataset!J:J,"&gt;="&amp;$AB79/365)</f>
        <v>2.3480842852164753E-4</v>
      </c>
      <c r="AE79" s="101">
        <f>SUMIFS(Dataset!AJ:AJ,Dataset!F:F,credito!$D$11,Dataset!AH:AH,"deposito",Dataset!T:T,"uf",Dataset!J:J,"&lt;"&amp;$AC79/365,Dataset!J:J,"&gt;="&amp;$AB79/365)</f>
        <v>0</v>
      </c>
      <c r="AF79" s="101">
        <f>SUMIFS(Dataset!AJ:AJ,Dataset!F:F,credito!$D$11,Dataset!AH:AH,"deposito",Dataset!T:T,"us$",Dataset!J:J,"&lt;"&amp;$AC79/365,Dataset!J:J,"&gt;="&amp;$AB79/365)</f>
        <v>0</v>
      </c>
      <c r="AG79" s="101">
        <f>SUMIFS(Dataset!AJ:AJ,Dataset!F:F,credito!$D$11,Dataset!AH:AH,"factura",Dataset!J:J,"&lt;"&amp;$AC79/365,Dataset!J:J,"&gt;="&amp;$AB79/365)</f>
        <v>0</v>
      </c>
      <c r="AH79" s="102">
        <f>SUMIFS(Dataset!AJ:AJ,Dataset!F:F,credito!$D$11,Dataset!AH:AH,"letra hipotecaria",Dataset!J:J,"&lt;"&amp;$AC79/365,Dataset!J:J,"&gt;="&amp;$AB79/365)</f>
        <v>0</v>
      </c>
      <c r="AI79" s="84">
        <f t="shared" si="10"/>
        <v>2.3480842852164753E-4</v>
      </c>
    </row>
    <row r="80" spans="3:35" ht="33" customHeight="1" x14ac:dyDescent="0.3">
      <c r="C80" s="61">
        <v>7.5</v>
      </c>
      <c r="D80" s="81">
        <v>8.5</v>
      </c>
      <c r="E80" s="82">
        <f>SUMIFS(Dataset!AJ:AJ,Dataset!F:F,credito!$D$11,Dataset!AH:AH,"deposito",Dataset!T:T,"$",Dataset!J:J,"&lt;"&amp;$D80,Dataset!J:J,"&gt;="&amp;$C80)</f>
        <v>0</v>
      </c>
      <c r="F80" s="83">
        <f>SUMIFS(Dataset!AJ:AJ,Dataset!F:F,credito!$D$11,Dataset!AH:AH,"deposito",Dataset!T:T,"UF",Dataset!J:J,"&lt;"&amp;$D80,Dataset!J:J,"&gt;="&amp;$C80)</f>
        <v>0</v>
      </c>
      <c r="G80" s="83">
        <f>SUMIFS(Dataset!AJ:AJ,Dataset!F:F,credito!$D$11,Dataset!AH:AH,"bono de gobierno",Dataset!T:T,"$",Dataset!J:J,"&lt;"&amp;$D80,Dataset!J:J,"&gt;="&amp;$C80)</f>
        <v>0</v>
      </c>
      <c r="H80" s="83">
        <f>SUMIFS(Dataset!AJ:AJ,Dataset!F:F,credito!$D$11,Dataset!AH:AH,"bono de gobierno",Dataset!T:T,"UF",Dataset!J:J,"&lt;"&amp;$D80,Dataset!J:J,"&gt;="&amp;$C80)</f>
        <v>6.8975333591311987E-3</v>
      </c>
      <c r="I80" s="83">
        <f>SUMIFS(Dataset!AJ:AJ,Dataset!F:F,credito!$D$11,Dataset!AH:AH,"bono de gobierno",Dataset!T:T,"eu",Dataset!J:J,"&lt;"&amp;$D80,Dataset!J:J,"&gt;="&amp;$C80)</f>
        <v>0</v>
      </c>
      <c r="J80" s="83">
        <f>SUMIFS(Dataset!AJ:AJ,Dataset!F:F,credito!$D$11,Dataset!AH:AH,"bono de gobierno",Dataset!T:T,"mx",Dataset!J:J,"&lt;"&amp;$D80,Dataset!J:J,"&gt;="&amp;$C80)</f>
        <v>0</v>
      </c>
      <c r="K80" s="83">
        <f>SUMIFS(Dataset!AJ:AJ,Dataset!F:F,credito!$D$11,Dataset!AH:AH,"bono corporativo",Dataset!T:T,"$",Dataset!J:J,"&lt;"&amp;$D80,Dataset!J:J,"&gt;="&amp;$C80)</f>
        <v>0</v>
      </c>
      <c r="L80" s="83">
        <f>SUMIFS(Dataset!AJ:AJ,Dataset!F:F,credito!$D$11,Dataset!AH:AH,"bono corporativo",Dataset!T:T,"UF",Dataset!J:J,"&lt;"&amp;$D80,Dataset!J:J,"&gt;="&amp;$C80)</f>
        <v>-2.9648790816844281E-2</v>
      </c>
      <c r="M80" s="83">
        <f>SUMIFS(Dataset!AJ:AJ,Dataset!F:F,credito!$D$11,Dataset!AH:AH,"bono corporativo",Dataset!T:T,"US$",Dataset!J:J,"&lt;"&amp;$D80,Dataset!J:J,"&gt;="&amp;$C80)</f>
        <v>0</v>
      </c>
      <c r="N80" s="83">
        <f>SUMIFS(Dataset!AJ:AJ,Dataset!F:F,credito!$D$11,Dataset!J:J,"&lt;"&amp;$D80,Dataset!J:J,"&gt;="&amp;$C80,Dataset!AH:AH,"&lt;&gt;bono corporativo",Dataset!AH:AH,"&lt;&gt;bono de gobierno",Dataset!AH:AH,"&lt;&gt;deposito")</f>
        <v>0</v>
      </c>
      <c r="O80" s="84">
        <f t="shared" si="8"/>
        <v>-2.2751257457713083E-2</v>
      </c>
      <c r="P80" s="82">
        <f>SUMIFS(Dataset!AA:AA,Dataset!F:F,credito!$D$11,Dataset!AH:AH,"deposito",Dataset!T:T,"$",Dataset!J:J,"&lt;"&amp;$D80,Dataset!J:J,"&gt;="&amp;$C80)</f>
        <v>0</v>
      </c>
      <c r="Q80" s="83">
        <f>SUMIFS(Dataset!AA:AA,Dataset!F:F,credito!$D$11,Dataset!AH:AH,"deposito",Dataset!T:T,"UF",Dataset!J:J,"&lt;"&amp;$D80,Dataset!J:J,"&gt;="&amp;$C80)</f>
        <v>0</v>
      </c>
      <c r="R80" s="83">
        <f>SUMIFS(Dataset!AA:AA,Dataset!F:F,credito!$D$11,Dataset!AH:AH,"bono de gobierno",Dataset!T:T,"$",Dataset!J:J,"&lt;"&amp;$D80,Dataset!J:J,"&gt;="&amp;$C80)</f>
        <v>0</v>
      </c>
      <c r="S80" s="83">
        <f>SUMIFS(Dataset!AA:AA,Dataset!F:F,credito!$D$11,Dataset!AH:AH,"bono de gobierno",Dataset!T:T,"UF",Dataset!J:J,"&lt;"&amp;$D80,Dataset!J:J,"&gt;="&amp;$C80)</f>
        <v>-2.6272316042370617E-3</v>
      </c>
      <c r="T80" s="83">
        <f>SUMIFS(Dataset!AA:AA,Dataset!F:F,credito!$D$11,Dataset!AH:AH,"bono de gobierno",Dataset!T:T,"EU",Dataset!J:J,"&lt;"&amp;$D80,Dataset!J:J,"&gt;="&amp;$C80)</f>
        <v>0</v>
      </c>
      <c r="U80" s="83">
        <f>SUMIFS(Dataset!AA:AA,Dataset!F:F,credito!$D$11,Dataset!AH:AH,"bono de gobierno",Dataset!T:T,"MX",Dataset!J:J,"&lt;"&amp;$D80,Dataset!J:J,"&gt;="&amp;$C80)</f>
        <v>0</v>
      </c>
      <c r="V80" s="83">
        <f>SUMIFS(Dataset!AA:AA,Dataset!F:F,credito!$D$11,Dataset!AH:AH,"bono corporativo",Dataset!T:T,"$",Dataset!J:J,"&lt;"&amp;$D80,Dataset!J:J,"&gt;="&amp;$C80)</f>
        <v>0</v>
      </c>
      <c r="W80" s="83">
        <f>SUMIFS(Dataset!AA:AA,Dataset!F:F,credito!$D$11,Dataset!AH:AH,"bono corporativo",Dataset!T:T,"UF",Dataset!J:J,"&lt;"&amp;$D80,Dataset!J:J,"&gt;="&amp;$C80)</f>
        <v>0.25699960484484369</v>
      </c>
      <c r="X80" s="83">
        <f>SUMIFS(Dataset!AA:AA,Dataset!F:F,credito!$D$11,Dataset!AH:AH,"bono corporativo",Dataset!T:T,"US$",Dataset!J:J,"&lt;"&amp;$D80,Dataset!J:J,"&gt;="&amp;$C80)</f>
        <v>0</v>
      </c>
      <c r="Y80" s="83">
        <f>SUMIFS(Dataset!AA:AA,Dataset!F:F,credito!$D$11,Dataset!J:J,"&lt;"&amp;$D80,Dataset!J:J,"&gt;="&amp;$C80,Dataset!AH:AH,"&lt;&gt;bono corporativo",Dataset!AH:AH,"&lt;&gt;bono de gobierno",Dataset!AH:AH,"&lt;&gt;deposito")</f>
        <v>0</v>
      </c>
      <c r="Z80" s="84">
        <f t="shared" si="9"/>
        <v>0.25437237324060663</v>
      </c>
      <c r="AB80" s="61">
        <v>135</v>
      </c>
      <c r="AC80" s="100">
        <v>150</v>
      </c>
      <c r="AD80" s="101">
        <f>SUMIFS(Dataset!AJ:AJ,Dataset!F:F,credito!$D$11,Dataset!AH:AH,"deposito",Dataset!T:T,"$",Dataset!J:J,"&lt;"&amp;$AC80/365,Dataset!J:J,"&gt;="&amp;$AB80/365)</f>
        <v>2.6788460538226967E-3</v>
      </c>
      <c r="AE80" s="101">
        <f>SUMIFS(Dataset!AJ:AJ,Dataset!F:F,credito!$D$11,Dataset!AH:AH,"deposito",Dataset!T:T,"uf",Dataset!J:J,"&lt;"&amp;$AC80/365,Dataset!J:J,"&gt;="&amp;$AB80/365)</f>
        <v>0</v>
      </c>
      <c r="AF80" s="101">
        <f>SUMIFS(Dataset!AJ:AJ,Dataset!F:F,credito!$D$11,Dataset!AH:AH,"deposito",Dataset!T:T,"us$",Dataset!J:J,"&lt;"&amp;$AC80/365,Dataset!J:J,"&gt;="&amp;$AB80/365)</f>
        <v>0</v>
      </c>
      <c r="AG80" s="101">
        <f>SUMIFS(Dataset!AJ:AJ,Dataset!F:F,credito!$D$11,Dataset!AH:AH,"factura",Dataset!J:J,"&lt;"&amp;$AC80/365,Dataset!J:J,"&gt;="&amp;$AB80/365)</f>
        <v>0</v>
      </c>
      <c r="AH80" s="102">
        <f>SUMIFS(Dataset!AJ:AJ,Dataset!F:F,credito!$D$11,Dataset!AH:AH,"letra hipotecaria",Dataset!J:J,"&lt;"&amp;$AC80/365,Dataset!J:J,"&gt;="&amp;$AB80/365)</f>
        <v>0</v>
      </c>
      <c r="AI80" s="84">
        <f t="shared" si="10"/>
        <v>2.6788460538226967E-3</v>
      </c>
    </row>
    <row r="81" spans="2:35" ht="33" customHeight="1" x14ac:dyDescent="0.3">
      <c r="C81" s="61">
        <v>8.5</v>
      </c>
      <c r="D81" s="81">
        <v>9.5</v>
      </c>
      <c r="E81" s="82">
        <f>SUMIFS(Dataset!AJ:AJ,Dataset!F:F,credito!$D$11,Dataset!AH:AH,"deposito",Dataset!T:T,"$",Dataset!J:J,"&lt;"&amp;$D81,Dataset!J:J,"&gt;="&amp;$C81)</f>
        <v>0</v>
      </c>
      <c r="F81" s="83">
        <f>SUMIFS(Dataset!AJ:AJ,Dataset!F:F,credito!$D$11,Dataset!AH:AH,"deposito",Dataset!T:T,"UF",Dataset!J:J,"&lt;"&amp;$D81,Dataset!J:J,"&gt;="&amp;$C81)</f>
        <v>0</v>
      </c>
      <c r="G81" s="83">
        <f>SUMIFS(Dataset!AJ:AJ,Dataset!F:F,credito!$D$11,Dataset!AH:AH,"bono de gobierno",Dataset!T:T,"$",Dataset!J:J,"&lt;"&amp;$D81,Dataset!J:J,"&gt;="&amp;$C81)</f>
        <v>0</v>
      </c>
      <c r="H81" s="83">
        <f>SUMIFS(Dataset!AJ:AJ,Dataset!F:F,credito!$D$11,Dataset!AH:AH,"bono de gobierno",Dataset!T:T,"UF",Dataset!J:J,"&lt;"&amp;$D81,Dataset!J:J,"&gt;="&amp;$C81)</f>
        <v>0</v>
      </c>
      <c r="I81" s="83">
        <f>SUMIFS(Dataset!AJ:AJ,Dataset!F:F,credito!$D$11,Dataset!AH:AH,"bono de gobierno",Dataset!T:T,"eu",Dataset!J:J,"&lt;"&amp;$D81,Dataset!J:J,"&gt;="&amp;$C81)</f>
        <v>0</v>
      </c>
      <c r="J81" s="83">
        <f>SUMIFS(Dataset!AJ:AJ,Dataset!F:F,credito!$D$11,Dataset!AH:AH,"bono de gobierno",Dataset!T:T,"mx",Dataset!J:J,"&lt;"&amp;$D81,Dataset!J:J,"&gt;="&amp;$C81)</f>
        <v>0</v>
      </c>
      <c r="K81" s="83">
        <f>SUMIFS(Dataset!AJ:AJ,Dataset!F:F,credito!$D$11,Dataset!AH:AH,"bono corporativo",Dataset!T:T,"$",Dataset!J:J,"&lt;"&amp;$D81,Dataset!J:J,"&gt;="&amp;$C81)</f>
        <v>1.4197410298432741E-2</v>
      </c>
      <c r="L81" s="83">
        <f>SUMIFS(Dataset!AJ:AJ,Dataset!F:F,credito!$D$11,Dataset!AH:AH,"bono corporativo",Dataset!T:T,"UF",Dataset!J:J,"&lt;"&amp;$D81,Dataset!J:J,"&gt;="&amp;$C81)</f>
        <v>2.5493190949498937E-2</v>
      </c>
      <c r="M81" s="83">
        <f>SUMIFS(Dataset!AJ:AJ,Dataset!F:F,credito!$D$11,Dataset!AH:AH,"bono corporativo",Dataset!T:T,"US$",Dataset!J:J,"&lt;"&amp;$D81,Dataset!J:J,"&gt;="&amp;$C81)</f>
        <v>0</v>
      </c>
      <c r="N81" s="83">
        <f>SUMIFS(Dataset!AJ:AJ,Dataset!F:F,credito!$D$11,Dataset!J:J,"&lt;"&amp;$D81,Dataset!J:J,"&gt;="&amp;$C81,Dataset!AH:AH,"&lt;&gt;bono corporativo",Dataset!AH:AH,"&lt;&gt;bono de gobierno",Dataset!AH:AH,"&lt;&gt;deposito")</f>
        <v>0</v>
      </c>
      <c r="O81" s="84">
        <f t="shared" si="8"/>
        <v>3.9690601247931681E-2</v>
      </c>
      <c r="P81" s="82">
        <f>SUMIFS(Dataset!AA:AA,Dataset!F:F,credito!$D$11,Dataset!AH:AH,"deposito",Dataset!T:T,"$",Dataset!J:J,"&lt;"&amp;$D81,Dataset!J:J,"&gt;="&amp;$C81)</f>
        <v>0</v>
      </c>
      <c r="Q81" s="83">
        <f>SUMIFS(Dataset!AA:AA,Dataset!F:F,credito!$D$11,Dataset!AH:AH,"deposito",Dataset!T:T,"UF",Dataset!J:J,"&lt;"&amp;$D81,Dataset!J:J,"&gt;="&amp;$C81)</f>
        <v>0</v>
      </c>
      <c r="R81" s="83">
        <f>SUMIFS(Dataset!AA:AA,Dataset!F:F,credito!$D$11,Dataset!AH:AH,"bono de gobierno",Dataset!T:T,"$",Dataset!J:J,"&lt;"&amp;$D81,Dataset!J:J,"&gt;="&amp;$C81)</f>
        <v>0</v>
      </c>
      <c r="S81" s="83">
        <f>SUMIFS(Dataset!AA:AA,Dataset!F:F,credito!$D$11,Dataset!AH:AH,"bono de gobierno",Dataset!T:T,"UF",Dataset!J:J,"&lt;"&amp;$D81,Dataset!J:J,"&gt;="&amp;$C81)</f>
        <v>0</v>
      </c>
      <c r="T81" s="83">
        <f>SUMIFS(Dataset!AA:AA,Dataset!F:F,credito!$D$11,Dataset!AH:AH,"bono de gobierno",Dataset!T:T,"EU",Dataset!J:J,"&lt;"&amp;$D81,Dataset!J:J,"&gt;="&amp;$C81)</f>
        <v>0</v>
      </c>
      <c r="U81" s="83">
        <f>SUMIFS(Dataset!AA:AA,Dataset!F:F,credito!$D$11,Dataset!AH:AH,"bono de gobierno",Dataset!T:T,"MX",Dataset!J:J,"&lt;"&amp;$D81,Dataset!J:J,"&gt;="&amp;$C81)</f>
        <v>0</v>
      </c>
      <c r="V81" s="83">
        <f>SUMIFS(Dataset!AA:AA,Dataset!F:F,credito!$D$11,Dataset!AH:AH,"bono corporativo",Dataset!T:T,"$",Dataset!J:J,"&lt;"&amp;$D81,Dataset!J:J,"&gt;="&amp;$C81)</f>
        <v>1.1872635387746997E-2</v>
      </c>
      <c r="W81" s="83">
        <f>SUMIFS(Dataset!AA:AA,Dataset!F:F,credito!$D$11,Dataset!AH:AH,"bono corporativo",Dataset!T:T,"UF",Dataset!J:J,"&lt;"&amp;$D81,Dataset!J:J,"&gt;="&amp;$C81)</f>
        <v>1.5808661564091785E-2</v>
      </c>
      <c r="X81" s="83">
        <f>SUMIFS(Dataset!AA:AA,Dataset!F:F,credito!$D$11,Dataset!AH:AH,"bono corporativo",Dataset!T:T,"US$",Dataset!J:J,"&lt;"&amp;$D81,Dataset!J:J,"&gt;="&amp;$C81)</f>
        <v>0</v>
      </c>
      <c r="Y81" s="83">
        <f>SUMIFS(Dataset!AA:AA,Dataset!F:F,credito!$D$11,Dataset!J:J,"&lt;"&amp;$D81,Dataset!J:J,"&gt;="&amp;$C81,Dataset!AH:AH,"&lt;&gt;bono corporativo",Dataset!AH:AH,"&lt;&gt;bono de gobierno",Dataset!AH:AH,"&lt;&gt;deposito")</f>
        <v>0</v>
      </c>
      <c r="Z81" s="84">
        <f t="shared" si="9"/>
        <v>2.7681296951838782E-2</v>
      </c>
      <c r="AB81" s="61">
        <v>150</v>
      </c>
      <c r="AC81" s="100">
        <v>165</v>
      </c>
      <c r="AD81" s="101">
        <f>SUMIFS(Dataset!AJ:AJ,Dataset!F:F,credito!$D$11,Dataset!AH:AH,"deposito",Dataset!T:T,"$",Dataset!J:J,"&lt;"&amp;$AC81/365,Dataset!J:J,"&gt;="&amp;$AB81/365)</f>
        <v>0</v>
      </c>
      <c r="AE81" s="101">
        <f>SUMIFS(Dataset!AJ:AJ,Dataset!F:F,credito!$D$11,Dataset!AH:AH,"deposito",Dataset!T:T,"uf",Dataset!J:J,"&lt;"&amp;$AC81/365,Dataset!J:J,"&gt;="&amp;$AB81/365)</f>
        <v>0</v>
      </c>
      <c r="AF81" s="101">
        <f>SUMIFS(Dataset!AJ:AJ,Dataset!F:F,credito!$D$11,Dataset!AH:AH,"deposito",Dataset!T:T,"us$",Dataset!J:J,"&lt;"&amp;$AC81/365,Dataset!J:J,"&gt;="&amp;$AB81/365)</f>
        <v>0</v>
      </c>
      <c r="AG81" s="101">
        <f>SUMIFS(Dataset!AJ:AJ,Dataset!F:F,credito!$D$11,Dataset!AH:AH,"factura",Dataset!J:J,"&lt;"&amp;$AC81/365,Dataset!J:J,"&gt;="&amp;$AB81/365)</f>
        <v>0</v>
      </c>
      <c r="AH81" s="102">
        <f>SUMIFS(Dataset!AJ:AJ,Dataset!F:F,credito!$D$11,Dataset!AH:AH,"letra hipotecaria",Dataset!J:J,"&lt;"&amp;$AC81/365,Dataset!J:J,"&gt;="&amp;$AB81/365)</f>
        <v>0</v>
      </c>
      <c r="AI81" s="84">
        <f t="shared" si="10"/>
        <v>0</v>
      </c>
    </row>
    <row r="82" spans="2:35" ht="33" customHeight="1" x14ac:dyDescent="0.3">
      <c r="C82" s="61">
        <v>9.5</v>
      </c>
      <c r="D82" s="81">
        <v>10.5</v>
      </c>
      <c r="E82" s="82">
        <f>SUMIFS(Dataset!AJ:AJ,Dataset!F:F,credito!$D$11,Dataset!AH:AH,"deposito",Dataset!T:T,"$",Dataset!J:J,"&lt;"&amp;$D82,Dataset!J:J,"&gt;="&amp;$C82)</f>
        <v>0</v>
      </c>
      <c r="F82" s="83">
        <f>SUMIFS(Dataset!AJ:AJ,Dataset!F:F,credito!$D$11,Dataset!AH:AH,"deposito",Dataset!T:T,"UF",Dataset!J:J,"&lt;"&amp;$D82,Dataset!J:J,"&gt;="&amp;$C82)</f>
        <v>0</v>
      </c>
      <c r="G82" s="83">
        <f>SUMIFS(Dataset!AJ:AJ,Dataset!F:F,credito!$D$11,Dataset!AH:AH,"bono de gobierno",Dataset!T:T,"$",Dataset!J:J,"&lt;"&amp;$D82,Dataset!J:J,"&gt;="&amp;$C82)</f>
        <v>0</v>
      </c>
      <c r="H82" s="83">
        <f>SUMIFS(Dataset!AJ:AJ,Dataset!F:F,credito!$D$11,Dataset!AH:AH,"bono de gobierno",Dataset!T:T,"UF",Dataset!J:J,"&lt;"&amp;$D82,Dataset!J:J,"&gt;="&amp;$C82)</f>
        <v>0</v>
      </c>
      <c r="I82" s="83">
        <f>SUMIFS(Dataset!AJ:AJ,Dataset!F:F,credito!$D$11,Dataset!AH:AH,"bono de gobierno",Dataset!T:T,"eu",Dataset!J:J,"&lt;"&amp;$D82,Dataset!J:J,"&gt;="&amp;$C82)</f>
        <v>0</v>
      </c>
      <c r="J82" s="83">
        <f>SUMIFS(Dataset!AJ:AJ,Dataset!F:F,credito!$D$11,Dataset!AH:AH,"bono de gobierno",Dataset!T:T,"mx",Dataset!J:J,"&lt;"&amp;$D82,Dataset!J:J,"&gt;="&amp;$C82)</f>
        <v>0</v>
      </c>
      <c r="K82" s="83">
        <f>SUMIFS(Dataset!AJ:AJ,Dataset!F:F,credito!$D$11,Dataset!AH:AH,"bono corporativo",Dataset!T:T,"$",Dataset!J:J,"&lt;"&amp;$D82,Dataset!J:J,"&gt;="&amp;$C82)</f>
        <v>0</v>
      </c>
      <c r="L82" s="83">
        <f>SUMIFS(Dataset!AJ:AJ,Dataset!F:F,credito!$D$11,Dataset!AH:AH,"bono corporativo",Dataset!T:T,"UF",Dataset!J:J,"&lt;"&amp;$D82,Dataset!J:J,"&gt;="&amp;$C82)</f>
        <v>2.4555406430792912E-3</v>
      </c>
      <c r="M82" s="83">
        <f>SUMIFS(Dataset!AJ:AJ,Dataset!F:F,credito!$D$11,Dataset!AH:AH,"bono corporativo",Dataset!T:T,"US$",Dataset!J:J,"&lt;"&amp;$D82,Dataset!J:J,"&gt;="&amp;$C82)</f>
        <v>0</v>
      </c>
      <c r="N82" s="83">
        <f>SUMIFS(Dataset!AJ:AJ,Dataset!F:F,credito!$D$11,Dataset!J:J,"&lt;"&amp;$D82,Dataset!J:J,"&gt;="&amp;$C82,Dataset!AH:AH,"&lt;&gt;bono corporativo",Dataset!AH:AH,"&lt;&gt;bono de gobierno",Dataset!AH:AH,"&lt;&gt;deposito")</f>
        <v>0</v>
      </c>
      <c r="O82" s="84">
        <f t="shared" si="8"/>
        <v>2.4555406430792912E-3</v>
      </c>
      <c r="P82" s="82">
        <f>SUMIFS(Dataset!AA:AA,Dataset!F:F,credito!$D$11,Dataset!AH:AH,"deposito",Dataset!T:T,"$",Dataset!J:J,"&lt;"&amp;$D82,Dataset!J:J,"&gt;="&amp;$C82)</f>
        <v>0</v>
      </c>
      <c r="Q82" s="83">
        <f>SUMIFS(Dataset!AA:AA,Dataset!F:F,credito!$D$11,Dataset!AH:AH,"deposito",Dataset!T:T,"UF",Dataset!J:J,"&lt;"&amp;$D82,Dataset!J:J,"&gt;="&amp;$C82)</f>
        <v>0</v>
      </c>
      <c r="R82" s="83">
        <f>SUMIFS(Dataset!AA:AA,Dataset!F:F,credito!$D$11,Dataset!AH:AH,"bono de gobierno",Dataset!T:T,"$",Dataset!J:J,"&lt;"&amp;$D82,Dataset!J:J,"&gt;="&amp;$C82)</f>
        <v>0</v>
      </c>
      <c r="S82" s="83">
        <f>SUMIFS(Dataset!AA:AA,Dataset!F:F,credito!$D$11,Dataset!AH:AH,"bono de gobierno",Dataset!T:T,"UF",Dataset!J:J,"&lt;"&amp;$D82,Dataset!J:J,"&gt;="&amp;$C82)</f>
        <v>0</v>
      </c>
      <c r="T82" s="83">
        <f>SUMIFS(Dataset!AA:AA,Dataset!F:F,credito!$D$11,Dataset!AH:AH,"bono de gobierno",Dataset!T:T,"EU",Dataset!J:J,"&lt;"&amp;$D82,Dataset!J:J,"&gt;="&amp;$C82)</f>
        <v>0</v>
      </c>
      <c r="U82" s="83">
        <f>SUMIFS(Dataset!AA:AA,Dataset!F:F,credito!$D$11,Dataset!AH:AH,"bono de gobierno",Dataset!T:T,"MX",Dataset!J:J,"&lt;"&amp;$D82,Dataset!J:J,"&gt;="&amp;$C82)</f>
        <v>0</v>
      </c>
      <c r="V82" s="83">
        <f>SUMIFS(Dataset!AA:AA,Dataset!F:F,credito!$D$11,Dataset!AH:AH,"bono corporativo",Dataset!T:T,"$",Dataset!J:J,"&lt;"&amp;$D82,Dataset!J:J,"&gt;="&amp;$C82)</f>
        <v>0</v>
      </c>
      <c r="W82" s="83">
        <f>SUMIFS(Dataset!AA:AA,Dataset!F:F,credito!$D$11,Dataset!AH:AH,"bono corporativo",Dataset!T:T,"UF",Dataset!J:J,"&lt;"&amp;$D82,Dataset!J:J,"&gt;="&amp;$C82)</f>
        <v>2.2095454050077613E-2</v>
      </c>
      <c r="X82" s="83">
        <f>SUMIFS(Dataset!AA:AA,Dataset!F:F,credito!$D$11,Dataset!AH:AH,"bono corporativo",Dataset!T:T,"US$",Dataset!J:J,"&lt;"&amp;$D82,Dataset!J:J,"&gt;="&amp;$C82)</f>
        <v>0</v>
      </c>
      <c r="Y82" s="83">
        <f>SUMIFS(Dataset!AA:AA,Dataset!F:F,credito!$D$11,Dataset!J:J,"&lt;"&amp;$D82,Dataset!J:J,"&gt;="&amp;$C82,Dataset!AH:AH,"&lt;&gt;bono corporativo",Dataset!AH:AH,"&lt;&gt;bono de gobierno",Dataset!AH:AH,"&lt;&gt;deposito")</f>
        <v>0</v>
      </c>
      <c r="Z82" s="84">
        <f t="shared" si="9"/>
        <v>2.2095454050077613E-2</v>
      </c>
      <c r="AB82" s="61">
        <v>165</v>
      </c>
      <c r="AC82" s="100">
        <v>180</v>
      </c>
      <c r="AD82" s="101">
        <f>SUMIFS(Dataset!AJ:AJ,Dataset!F:F,credito!$D$11,Dataset!AH:AH,"deposito",Dataset!T:T,"$",Dataset!J:J,"&lt;"&amp;$AC82/365,Dataset!J:J,"&gt;="&amp;$AB82/365)</f>
        <v>0</v>
      </c>
      <c r="AE82" s="101">
        <f>SUMIFS(Dataset!AJ:AJ,Dataset!F:F,credito!$D$11,Dataset!AH:AH,"deposito",Dataset!T:T,"uf",Dataset!J:J,"&lt;"&amp;$AC82/365,Dataset!J:J,"&gt;="&amp;$AB82/365)</f>
        <v>0</v>
      </c>
      <c r="AF82" s="101">
        <f>SUMIFS(Dataset!AJ:AJ,Dataset!F:F,credito!$D$11,Dataset!AH:AH,"deposito",Dataset!T:T,"us$",Dataset!J:J,"&lt;"&amp;$AC82/365,Dataset!J:J,"&gt;="&amp;$AB82/365)</f>
        <v>0</v>
      </c>
      <c r="AG82" s="101">
        <f>SUMIFS(Dataset!AJ:AJ,Dataset!F:F,credito!$D$11,Dataset!AH:AH,"factura",Dataset!J:J,"&lt;"&amp;$AC82/365,Dataset!J:J,"&gt;="&amp;$AB82/365)</f>
        <v>0</v>
      </c>
      <c r="AH82" s="102">
        <f>SUMIFS(Dataset!AJ:AJ,Dataset!F:F,credito!$D$11,Dataset!AH:AH,"letra hipotecaria",Dataset!J:J,"&lt;"&amp;$AC82/365,Dataset!J:J,"&gt;="&amp;$AB82/365)</f>
        <v>0</v>
      </c>
      <c r="AI82" s="84">
        <f t="shared" si="10"/>
        <v>0</v>
      </c>
    </row>
    <row r="83" spans="2:35" ht="33" customHeight="1" x14ac:dyDescent="0.3">
      <c r="C83" s="61">
        <v>10.5</v>
      </c>
      <c r="D83" s="81">
        <v>11.5</v>
      </c>
      <c r="E83" s="82">
        <f>SUMIFS(Dataset!AJ:AJ,Dataset!F:F,credito!$D$11,Dataset!AH:AH,"deposito",Dataset!T:T,"$",Dataset!J:J,"&lt;"&amp;$D83,Dataset!J:J,"&gt;="&amp;$C83)</f>
        <v>0</v>
      </c>
      <c r="F83" s="83">
        <f>SUMIFS(Dataset!AJ:AJ,Dataset!F:F,credito!$D$11,Dataset!AH:AH,"deposito",Dataset!T:T,"UF",Dataset!J:J,"&lt;"&amp;$D83,Dataset!J:J,"&gt;="&amp;$C83)</f>
        <v>0</v>
      </c>
      <c r="G83" s="83">
        <f>SUMIFS(Dataset!AJ:AJ,Dataset!F:F,credito!$D$11,Dataset!AH:AH,"bono de gobierno",Dataset!T:T,"$",Dataset!J:J,"&lt;"&amp;$D83,Dataset!J:J,"&gt;="&amp;$C83)</f>
        <v>0</v>
      </c>
      <c r="H83" s="83">
        <f>SUMIFS(Dataset!AJ:AJ,Dataset!F:F,credito!$D$11,Dataset!AH:AH,"bono de gobierno",Dataset!T:T,"UF",Dataset!J:J,"&lt;"&amp;$D83,Dataset!J:J,"&gt;="&amp;$C83)</f>
        <v>0</v>
      </c>
      <c r="I83" s="83">
        <f>SUMIFS(Dataset!AJ:AJ,Dataset!F:F,credito!$D$11,Dataset!AH:AH,"bono de gobierno",Dataset!T:T,"eu",Dataset!J:J,"&lt;"&amp;$D83,Dataset!J:J,"&gt;="&amp;$C83)</f>
        <v>0</v>
      </c>
      <c r="J83" s="83">
        <f>SUMIFS(Dataset!AJ:AJ,Dataset!F:F,credito!$D$11,Dataset!AH:AH,"bono de gobierno",Dataset!T:T,"mx",Dataset!J:J,"&lt;"&amp;$D83,Dataset!J:J,"&gt;="&amp;$C83)</f>
        <v>0</v>
      </c>
      <c r="K83" s="83">
        <f>SUMIFS(Dataset!AJ:AJ,Dataset!F:F,credito!$D$11,Dataset!AH:AH,"bono corporativo",Dataset!T:T,"$",Dataset!J:J,"&lt;"&amp;$D83,Dataset!J:J,"&gt;="&amp;$C83)</f>
        <v>0</v>
      </c>
      <c r="L83" s="83">
        <f>SUMIFS(Dataset!AJ:AJ,Dataset!F:F,credito!$D$11,Dataset!AH:AH,"bono corporativo",Dataset!T:T,"UF",Dataset!J:J,"&lt;"&amp;$D83,Dataset!J:J,"&gt;="&amp;$C83)</f>
        <v>8.9842930537296257E-3</v>
      </c>
      <c r="M83" s="83">
        <f>SUMIFS(Dataset!AJ:AJ,Dataset!F:F,credito!$D$11,Dataset!AH:AH,"bono corporativo",Dataset!T:T,"US$",Dataset!J:J,"&lt;"&amp;$D83,Dataset!J:J,"&gt;="&amp;$C83)</f>
        <v>0</v>
      </c>
      <c r="N83" s="83">
        <f>SUMIFS(Dataset!AJ:AJ,Dataset!F:F,credito!$D$11,Dataset!J:J,"&lt;"&amp;$D83,Dataset!J:J,"&gt;="&amp;$C83,Dataset!AH:AH,"&lt;&gt;bono corporativo",Dataset!AH:AH,"&lt;&gt;bono de gobierno",Dataset!AH:AH,"&lt;&gt;deposito")</f>
        <v>0</v>
      </c>
      <c r="O83" s="84">
        <f t="shared" si="8"/>
        <v>8.9842930537296257E-3</v>
      </c>
      <c r="P83" s="82">
        <f>SUMIFS(Dataset!AA:AA,Dataset!F:F,credito!$D$11,Dataset!AH:AH,"deposito",Dataset!T:T,"$",Dataset!J:J,"&lt;"&amp;$D83,Dataset!J:J,"&gt;="&amp;$C83)</f>
        <v>0</v>
      </c>
      <c r="Q83" s="83">
        <f>SUMIFS(Dataset!AA:AA,Dataset!F:F,credito!$D$11,Dataset!AH:AH,"deposito",Dataset!T:T,"UF",Dataset!J:J,"&lt;"&amp;$D83,Dataset!J:J,"&gt;="&amp;$C83)</f>
        <v>0</v>
      </c>
      <c r="R83" s="83">
        <f>SUMIFS(Dataset!AA:AA,Dataset!F:F,credito!$D$11,Dataset!AH:AH,"bono de gobierno",Dataset!T:T,"$",Dataset!J:J,"&lt;"&amp;$D83,Dataset!J:J,"&gt;="&amp;$C83)</f>
        <v>0</v>
      </c>
      <c r="S83" s="83">
        <f>SUMIFS(Dataset!AA:AA,Dataset!F:F,credito!$D$11,Dataset!AH:AH,"bono de gobierno",Dataset!T:T,"UF",Dataset!J:J,"&lt;"&amp;$D83,Dataset!J:J,"&gt;="&amp;$C83)</f>
        <v>0</v>
      </c>
      <c r="T83" s="83">
        <f>SUMIFS(Dataset!AA:AA,Dataset!F:F,credito!$D$11,Dataset!AH:AH,"bono de gobierno",Dataset!T:T,"EU",Dataset!J:J,"&lt;"&amp;$D83,Dataset!J:J,"&gt;="&amp;$C83)</f>
        <v>0</v>
      </c>
      <c r="U83" s="83">
        <f>SUMIFS(Dataset!AA:AA,Dataset!F:F,credito!$D$11,Dataset!AH:AH,"bono de gobierno",Dataset!T:T,"MX",Dataset!J:J,"&lt;"&amp;$D83,Dataset!J:J,"&gt;="&amp;$C83)</f>
        <v>0</v>
      </c>
      <c r="V83" s="83">
        <f>SUMIFS(Dataset!AA:AA,Dataset!F:F,credito!$D$11,Dataset!AH:AH,"bono corporativo",Dataset!T:T,"$",Dataset!J:J,"&lt;"&amp;$D83,Dataset!J:J,"&gt;="&amp;$C83)</f>
        <v>0</v>
      </c>
      <c r="W83" s="83">
        <f>SUMIFS(Dataset!AA:AA,Dataset!F:F,credito!$D$11,Dataset!AH:AH,"bono corporativo",Dataset!T:T,"UF",Dataset!J:J,"&lt;"&amp;$D83,Dataset!J:J,"&gt;="&amp;$C83)</f>
        <v>-9.8527651963058252E-3</v>
      </c>
      <c r="X83" s="83">
        <f>SUMIFS(Dataset!AA:AA,Dataset!F:F,credito!$D$11,Dataset!AH:AH,"bono corporativo",Dataset!T:T,"US$",Dataset!J:J,"&lt;"&amp;$D83,Dataset!J:J,"&gt;="&amp;$C83)</f>
        <v>0</v>
      </c>
      <c r="Y83" s="83">
        <f>SUMIFS(Dataset!AA:AA,Dataset!F:F,credito!$D$11,Dataset!J:J,"&lt;"&amp;$D83,Dataset!J:J,"&gt;="&amp;$C83,Dataset!AH:AH,"&lt;&gt;bono corporativo",Dataset!AH:AH,"&lt;&gt;bono de gobierno",Dataset!AH:AH,"&lt;&gt;deposito")</f>
        <v>0</v>
      </c>
      <c r="Z83" s="84">
        <f t="shared" si="9"/>
        <v>-9.8527651963058252E-3</v>
      </c>
      <c r="AB83" s="61">
        <v>180</v>
      </c>
      <c r="AC83" s="100">
        <v>195</v>
      </c>
      <c r="AD83" s="101">
        <f>SUMIFS(Dataset!AJ:AJ,Dataset!F:F,credito!$D$11,Dataset!AH:AH,"deposito",Dataset!T:T,"$",Dataset!J:J,"&lt;"&amp;$AC83/365,Dataset!J:J,"&gt;="&amp;$AB83/365)</f>
        <v>0</v>
      </c>
      <c r="AE83" s="101">
        <f>SUMIFS(Dataset!AJ:AJ,Dataset!F:F,credito!$D$11,Dataset!AH:AH,"deposito",Dataset!T:T,"uf",Dataset!J:J,"&lt;"&amp;$AC83/365,Dataset!J:J,"&gt;="&amp;$AB83/365)</f>
        <v>0</v>
      </c>
      <c r="AF83" s="101">
        <f>SUMIFS(Dataset!AJ:AJ,Dataset!F:F,credito!$D$11,Dataset!AH:AH,"deposito",Dataset!T:T,"us$",Dataset!J:J,"&lt;"&amp;$AC83/365,Dataset!J:J,"&gt;="&amp;$AB83/365)</f>
        <v>0</v>
      </c>
      <c r="AG83" s="101">
        <f>SUMIFS(Dataset!AJ:AJ,Dataset!F:F,credito!$D$11,Dataset!AH:AH,"factura",Dataset!J:J,"&lt;"&amp;$AC83/365,Dataset!J:J,"&gt;="&amp;$AB83/365)</f>
        <v>0</v>
      </c>
      <c r="AH83" s="102">
        <f>SUMIFS(Dataset!AJ:AJ,Dataset!F:F,credito!$D$11,Dataset!AH:AH,"letra hipotecaria",Dataset!J:J,"&lt;"&amp;$AC83/365,Dataset!J:J,"&gt;="&amp;$AB83/365)</f>
        <v>0</v>
      </c>
      <c r="AI83" s="84">
        <f t="shared" si="10"/>
        <v>0</v>
      </c>
    </row>
    <row r="84" spans="2:35" ht="33" customHeight="1" x14ac:dyDescent="0.3">
      <c r="C84" s="61">
        <v>11.5</v>
      </c>
      <c r="D84" s="81">
        <v>12.5</v>
      </c>
      <c r="E84" s="82">
        <f>SUMIFS(Dataset!AJ:AJ,Dataset!F:F,credito!$D$11,Dataset!AH:AH,"deposito",Dataset!T:T,"$",Dataset!J:J,"&lt;"&amp;$D84,Dataset!J:J,"&gt;="&amp;$C84)</f>
        <v>0</v>
      </c>
      <c r="F84" s="83">
        <f>SUMIFS(Dataset!AJ:AJ,Dataset!F:F,credito!$D$11,Dataset!AH:AH,"deposito",Dataset!T:T,"UF",Dataset!J:J,"&lt;"&amp;$D84,Dataset!J:J,"&gt;="&amp;$C84)</f>
        <v>0</v>
      </c>
      <c r="G84" s="83">
        <f>SUMIFS(Dataset!AJ:AJ,Dataset!F:F,credito!$D$11,Dataset!AH:AH,"bono de gobierno",Dataset!T:T,"$",Dataset!J:J,"&lt;"&amp;$D84,Dataset!J:J,"&gt;="&amp;$C84)</f>
        <v>0</v>
      </c>
      <c r="H84" s="83">
        <f>SUMIFS(Dataset!AJ:AJ,Dataset!F:F,credito!$D$11,Dataset!AH:AH,"bono de gobierno",Dataset!T:T,"UF",Dataset!J:J,"&lt;"&amp;$D84,Dataset!J:J,"&gt;="&amp;$C84)</f>
        <v>0</v>
      </c>
      <c r="I84" s="83">
        <f>SUMIFS(Dataset!AJ:AJ,Dataset!F:F,credito!$D$11,Dataset!AH:AH,"bono de gobierno",Dataset!T:T,"eu",Dataset!J:J,"&lt;"&amp;$D84,Dataset!J:J,"&gt;="&amp;$C84)</f>
        <v>0</v>
      </c>
      <c r="J84" s="83">
        <f>SUMIFS(Dataset!AJ:AJ,Dataset!F:F,credito!$D$11,Dataset!AH:AH,"bono de gobierno",Dataset!T:T,"mx",Dataset!J:J,"&lt;"&amp;$D84,Dataset!J:J,"&gt;="&amp;$C84)</f>
        <v>0</v>
      </c>
      <c r="K84" s="83">
        <f>SUMIFS(Dataset!AJ:AJ,Dataset!F:F,credito!$D$11,Dataset!AH:AH,"bono corporativo",Dataset!T:T,"$",Dataset!J:J,"&lt;"&amp;$D84,Dataset!J:J,"&gt;="&amp;$C84)</f>
        <v>0</v>
      </c>
      <c r="L84" s="83">
        <f>SUMIFS(Dataset!AJ:AJ,Dataset!F:F,credito!$D$11,Dataset!AH:AH,"bono corporativo",Dataset!T:T,"UF",Dataset!J:J,"&lt;"&amp;$D84,Dataset!J:J,"&gt;="&amp;$C84)</f>
        <v>-2.8035989743971059E-2</v>
      </c>
      <c r="M84" s="83">
        <f>SUMIFS(Dataset!AJ:AJ,Dataset!F:F,credito!$D$11,Dataset!AH:AH,"bono corporativo",Dataset!T:T,"US$",Dataset!J:J,"&lt;"&amp;$D84,Dataset!J:J,"&gt;="&amp;$C84)</f>
        <v>0</v>
      </c>
      <c r="N84" s="83">
        <f>SUMIFS(Dataset!AJ:AJ,Dataset!F:F,credito!$D$11,Dataset!J:J,"&lt;"&amp;$D84,Dataset!J:J,"&gt;="&amp;$C84,Dataset!AH:AH,"&lt;&gt;bono corporativo",Dataset!AH:AH,"&lt;&gt;bono de gobierno",Dataset!AH:AH,"&lt;&gt;deposito")</f>
        <v>0</v>
      </c>
      <c r="O84" s="84">
        <f t="shared" si="8"/>
        <v>-2.8035989743971059E-2</v>
      </c>
      <c r="P84" s="82">
        <f>SUMIFS(Dataset!AA:AA,Dataset!F:F,credito!$D$11,Dataset!AH:AH,"deposito",Dataset!T:T,"$",Dataset!J:J,"&lt;"&amp;$D84,Dataset!J:J,"&gt;="&amp;$C84)</f>
        <v>0</v>
      </c>
      <c r="Q84" s="83">
        <f>SUMIFS(Dataset!AA:AA,Dataset!F:F,credito!$D$11,Dataset!AH:AH,"deposito",Dataset!T:T,"UF",Dataset!J:J,"&lt;"&amp;$D84,Dataset!J:J,"&gt;="&amp;$C84)</f>
        <v>0</v>
      </c>
      <c r="R84" s="83">
        <f>SUMIFS(Dataset!AA:AA,Dataset!F:F,credito!$D$11,Dataset!AH:AH,"bono de gobierno",Dataset!T:T,"$",Dataset!J:J,"&lt;"&amp;$D84,Dataset!J:J,"&gt;="&amp;$C84)</f>
        <v>0</v>
      </c>
      <c r="S84" s="83">
        <f>SUMIFS(Dataset!AA:AA,Dataset!F:F,credito!$D$11,Dataset!AH:AH,"bono de gobierno",Dataset!T:T,"UF",Dataset!J:J,"&lt;"&amp;$D84,Dataset!J:J,"&gt;="&amp;$C84)</f>
        <v>0</v>
      </c>
      <c r="T84" s="83">
        <f>SUMIFS(Dataset!AA:AA,Dataset!F:F,credito!$D$11,Dataset!AH:AH,"bono de gobierno",Dataset!T:T,"EU",Dataset!J:J,"&lt;"&amp;$D84,Dataset!J:J,"&gt;="&amp;$C84)</f>
        <v>0</v>
      </c>
      <c r="U84" s="83">
        <f>SUMIFS(Dataset!AA:AA,Dataset!F:F,credito!$D$11,Dataset!AH:AH,"bono de gobierno",Dataset!T:T,"MX",Dataset!J:J,"&lt;"&amp;$D84,Dataset!J:J,"&gt;="&amp;$C84)</f>
        <v>0</v>
      </c>
      <c r="V84" s="83">
        <f>SUMIFS(Dataset!AA:AA,Dataset!F:F,credito!$D$11,Dataset!AH:AH,"bono corporativo",Dataset!T:T,"$",Dataset!J:J,"&lt;"&amp;$D84,Dataset!J:J,"&gt;="&amp;$C84)</f>
        <v>0</v>
      </c>
      <c r="W84" s="83">
        <f>SUMIFS(Dataset!AA:AA,Dataset!F:F,credito!$D$11,Dataset!AH:AH,"bono corporativo",Dataset!T:T,"UF",Dataset!J:J,"&lt;"&amp;$D84,Dataset!J:J,"&gt;="&amp;$C84)</f>
        <v>9.8109703917775709E-2</v>
      </c>
      <c r="X84" s="83">
        <f>SUMIFS(Dataset!AA:AA,Dataset!F:F,credito!$D$11,Dataset!AH:AH,"bono corporativo",Dataset!T:T,"US$",Dataset!J:J,"&lt;"&amp;$D84,Dataset!J:J,"&gt;="&amp;$C84)</f>
        <v>0</v>
      </c>
      <c r="Y84" s="83">
        <f>SUMIFS(Dataset!AA:AA,Dataset!F:F,credito!$D$11,Dataset!J:J,"&lt;"&amp;$D84,Dataset!J:J,"&gt;="&amp;$C84,Dataset!AH:AH,"&lt;&gt;bono corporativo",Dataset!AH:AH,"&lt;&gt;bono de gobierno",Dataset!AH:AH,"&lt;&gt;deposito")</f>
        <v>0</v>
      </c>
      <c r="Z84" s="84">
        <f t="shared" si="9"/>
        <v>9.8109703917775709E-2</v>
      </c>
      <c r="AB84" s="61">
        <v>195</v>
      </c>
      <c r="AC84" s="100">
        <v>210</v>
      </c>
      <c r="AD84" s="101">
        <f>SUMIFS(Dataset!AJ:AJ,Dataset!F:F,credito!$D$11,Dataset!AH:AH,"deposito",Dataset!T:T,"$",Dataset!J:J,"&lt;"&amp;$AC84/365,Dataset!J:J,"&gt;="&amp;$AB84/365)</f>
        <v>0</v>
      </c>
      <c r="AE84" s="101">
        <f>SUMIFS(Dataset!AJ:AJ,Dataset!F:F,credito!$D$11,Dataset!AH:AH,"deposito",Dataset!T:T,"uf",Dataset!J:J,"&lt;"&amp;$AC84/365,Dataset!J:J,"&gt;="&amp;$AB84/365)</f>
        <v>0</v>
      </c>
      <c r="AF84" s="101">
        <f>SUMIFS(Dataset!AJ:AJ,Dataset!F:F,credito!$D$11,Dataset!AH:AH,"deposito",Dataset!T:T,"us$",Dataset!J:J,"&lt;"&amp;$AC84/365,Dataset!J:J,"&gt;="&amp;$AB84/365)</f>
        <v>0</v>
      </c>
      <c r="AG84" s="101">
        <f>SUMIFS(Dataset!AJ:AJ,Dataset!F:F,credito!$D$11,Dataset!AH:AH,"factura",Dataset!J:J,"&lt;"&amp;$AC84/365,Dataset!J:J,"&gt;="&amp;$AB84/365)</f>
        <v>0</v>
      </c>
      <c r="AH84" s="102">
        <f>SUMIFS(Dataset!AJ:AJ,Dataset!F:F,credito!$D$11,Dataset!AH:AH,"letra hipotecaria",Dataset!J:J,"&lt;"&amp;$AC84/365,Dataset!J:J,"&gt;="&amp;$AB84/365)</f>
        <v>0</v>
      </c>
      <c r="AI84" s="84">
        <f t="shared" si="10"/>
        <v>0</v>
      </c>
    </row>
    <row r="85" spans="2:35" ht="33" customHeight="1" x14ac:dyDescent="0.3">
      <c r="C85" s="61">
        <v>12.5</v>
      </c>
      <c r="D85" s="81">
        <v>13.5</v>
      </c>
      <c r="E85" s="82">
        <f>SUMIFS(Dataset!AJ:AJ,Dataset!F:F,credito!$D$11,Dataset!AH:AH,"deposito",Dataset!T:T,"$",Dataset!J:J,"&lt;"&amp;$D85,Dataset!J:J,"&gt;="&amp;$C85)</f>
        <v>0</v>
      </c>
      <c r="F85" s="83">
        <f>SUMIFS(Dataset!AJ:AJ,Dataset!F:F,credito!$D$11,Dataset!AH:AH,"deposito",Dataset!T:T,"UF",Dataset!J:J,"&lt;"&amp;$D85,Dataset!J:J,"&gt;="&amp;$C85)</f>
        <v>0</v>
      </c>
      <c r="G85" s="83">
        <f>SUMIFS(Dataset!AJ:AJ,Dataset!F:F,credito!$D$11,Dataset!AH:AH,"bono de gobierno",Dataset!T:T,"$",Dataset!J:J,"&lt;"&amp;$D85,Dataset!J:J,"&gt;="&amp;$C85)</f>
        <v>0</v>
      </c>
      <c r="H85" s="83">
        <f>SUMIFS(Dataset!AJ:AJ,Dataset!F:F,credito!$D$11,Dataset!AH:AH,"bono de gobierno",Dataset!T:T,"UF",Dataset!J:J,"&lt;"&amp;$D85,Dataset!J:J,"&gt;="&amp;$C85)</f>
        <v>0</v>
      </c>
      <c r="I85" s="83">
        <f>SUMIFS(Dataset!AJ:AJ,Dataset!F:F,credito!$D$11,Dataset!AH:AH,"bono de gobierno",Dataset!T:T,"eu",Dataset!J:J,"&lt;"&amp;$D85,Dataset!J:J,"&gt;="&amp;$C85)</f>
        <v>0</v>
      </c>
      <c r="J85" s="83">
        <f>SUMIFS(Dataset!AJ:AJ,Dataset!F:F,credito!$D$11,Dataset!AH:AH,"bono de gobierno",Dataset!T:T,"mx",Dataset!J:J,"&lt;"&amp;$D85,Dataset!J:J,"&gt;="&amp;$C85)</f>
        <v>0</v>
      </c>
      <c r="K85" s="83">
        <f>SUMIFS(Dataset!AJ:AJ,Dataset!F:F,credito!$D$11,Dataset!AH:AH,"bono corporativo",Dataset!T:T,"$",Dataset!J:J,"&lt;"&amp;$D85,Dataset!J:J,"&gt;="&amp;$C85)</f>
        <v>0</v>
      </c>
      <c r="L85" s="83">
        <f>SUMIFS(Dataset!AJ:AJ,Dataset!F:F,credito!$D$11,Dataset!AH:AH,"bono corporativo",Dataset!T:T,"UF",Dataset!J:J,"&lt;"&amp;$D85,Dataset!J:J,"&gt;="&amp;$C85)</f>
        <v>2.2856802545381246E-2</v>
      </c>
      <c r="M85" s="83">
        <f>SUMIFS(Dataset!AJ:AJ,Dataset!F:F,credito!$D$11,Dataset!AH:AH,"bono corporativo",Dataset!T:T,"US$",Dataset!J:J,"&lt;"&amp;$D85,Dataset!J:J,"&gt;="&amp;$C85)</f>
        <v>0</v>
      </c>
      <c r="N85" s="83">
        <f>SUMIFS(Dataset!AJ:AJ,Dataset!F:F,credito!$D$11,Dataset!J:J,"&lt;"&amp;$D85,Dataset!J:J,"&gt;="&amp;$C85,Dataset!AH:AH,"&lt;&gt;bono corporativo",Dataset!AH:AH,"&lt;&gt;bono de gobierno",Dataset!AH:AH,"&lt;&gt;deposito")</f>
        <v>0</v>
      </c>
      <c r="O85" s="84">
        <f t="shared" si="8"/>
        <v>2.2856802545381246E-2</v>
      </c>
      <c r="P85" s="82">
        <f>SUMIFS(Dataset!AA:AA,Dataset!F:F,credito!$D$11,Dataset!AH:AH,"deposito",Dataset!T:T,"$",Dataset!J:J,"&lt;"&amp;$D85,Dataset!J:J,"&gt;="&amp;$C85)</f>
        <v>0</v>
      </c>
      <c r="Q85" s="83">
        <f>SUMIFS(Dataset!AA:AA,Dataset!F:F,credito!$D$11,Dataset!AH:AH,"deposito",Dataset!T:T,"UF",Dataset!J:J,"&lt;"&amp;$D85,Dataset!J:J,"&gt;="&amp;$C85)</f>
        <v>0</v>
      </c>
      <c r="R85" s="83">
        <f>SUMIFS(Dataset!AA:AA,Dataset!F:F,credito!$D$11,Dataset!AH:AH,"bono de gobierno",Dataset!T:T,"$",Dataset!J:J,"&lt;"&amp;$D85,Dataset!J:J,"&gt;="&amp;$C85)</f>
        <v>0</v>
      </c>
      <c r="S85" s="83">
        <f>SUMIFS(Dataset!AA:AA,Dataset!F:F,credito!$D$11,Dataset!AH:AH,"bono de gobierno",Dataset!T:T,"UF",Dataset!J:J,"&lt;"&amp;$D85,Dataset!J:J,"&gt;="&amp;$C85)</f>
        <v>0</v>
      </c>
      <c r="T85" s="83">
        <f>SUMIFS(Dataset!AA:AA,Dataset!F:F,credito!$D$11,Dataset!AH:AH,"bono de gobierno",Dataset!T:T,"EU",Dataset!J:J,"&lt;"&amp;$D85,Dataset!J:J,"&gt;="&amp;$C85)</f>
        <v>0</v>
      </c>
      <c r="U85" s="83">
        <f>SUMIFS(Dataset!AA:AA,Dataset!F:F,credito!$D$11,Dataset!AH:AH,"bono de gobierno",Dataset!T:T,"MX",Dataset!J:J,"&lt;"&amp;$D85,Dataset!J:J,"&gt;="&amp;$C85)</f>
        <v>0</v>
      </c>
      <c r="V85" s="83">
        <f>SUMIFS(Dataset!AA:AA,Dataset!F:F,credito!$D$11,Dataset!AH:AH,"bono corporativo",Dataset!T:T,"$",Dataset!J:J,"&lt;"&amp;$D85,Dataset!J:J,"&gt;="&amp;$C85)</f>
        <v>0</v>
      </c>
      <c r="W85" s="83">
        <f>SUMIFS(Dataset!AA:AA,Dataset!F:F,credito!$D$11,Dataset!AH:AH,"bono corporativo",Dataset!T:T,"UF",Dataset!J:J,"&lt;"&amp;$D85,Dataset!J:J,"&gt;="&amp;$C85)</f>
        <v>-3.2760168505000992E-2</v>
      </c>
      <c r="X85" s="83">
        <f>SUMIFS(Dataset!AA:AA,Dataset!F:F,credito!$D$11,Dataset!AH:AH,"bono corporativo",Dataset!T:T,"US$",Dataset!J:J,"&lt;"&amp;$D85,Dataset!J:J,"&gt;="&amp;$C85)</f>
        <v>0</v>
      </c>
      <c r="Y85" s="83">
        <f>SUMIFS(Dataset!AA:AA,Dataset!F:F,credito!$D$11,Dataset!J:J,"&lt;"&amp;$D85,Dataset!J:J,"&gt;="&amp;$C85,Dataset!AH:AH,"&lt;&gt;bono corporativo",Dataset!AH:AH,"&lt;&gt;bono de gobierno",Dataset!AH:AH,"&lt;&gt;deposito")</f>
        <v>0</v>
      </c>
      <c r="Z85" s="84">
        <f t="shared" si="9"/>
        <v>-3.2760168505000992E-2</v>
      </c>
      <c r="AB85" s="61">
        <v>210</v>
      </c>
      <c r="AC85" s="100">
        <v>225</v>
      </c>
      <c r="AD85" s="101">
        <f>SUMIFS(Dataset!AJ:AJ,Dataset!F:F,credito!$D$11,Dataset!AH:AH,"deposito",Dataset!T:T,"$",Dataset!J:J,"&lt;"&amp;$AC85/365,Dataset!J:J,"&gt;="&amp;$AB85/365)</f>
        <v>0</v>
      </c>
      <c r="AE85" s="101">
        <f>SUMIFS(Dataset!AJ:AJ,Dataset!F:F,credito!$D$11,Dataset!AH:AH,"deposito",Dataset!T:T,"uf",Dataset!J:J,"&lt;"&amp;$AC85/365,Dataset!J:J,"&gt;="&amp;$AB85/365)</f>
        <v>0</v>
      </c>
      <c r="AF85" s="101">
        <f>SUMIFS(Dataset!AJ:AJ,Dataset!F:F,credito!$D$11,Dataset!AH:AH,"deposito",Dataset!T:T,"us$",Dataset!J:J,"&lt;"&amp;$AC85/365,Dataset!J:J,"&gt;="&amp;$AB85/365)</f>
        <v>0</v>
      </c>
      <c r="AG85" s="101">
        <f>SUMIFS(Dataset!AJ:AJ,Dataset!F:F,credito!$D$11,Dataset!AH:AH,"factura",Dataset!J:J,"&lt;"&amp;$AC85/365,Dataset!J:J,"&gt;="&amp;$AB85/365)</f>
        <v>0</v>
      </c>
      <c r="AH85" s="102">
        <f>SUMIFS(Dataset!AJ:AJ,Dataset!F:F,credito!$D$11,Dataset!AH:AH,"letra hipotecaria",Dataset!J:J,"&lt;"&amp;$AC85/365,Dataset!J:J,"&gt;="&amp;$AB85/365)</f>
        <v>0</v>
      </c>
      <c r="AI85" s="84">
        <f t="shared" si="10"/>
        <v>0</v>
      </c>
    </row>
    <row r="86" spans="2:35" ht="33" customHeight="1" x14ac:dyDescent="0.3">
      <c r="C86" s="61">
        <v>13.5</v>
      </c>
      <c r="D86" s="81">
        <v>14.5</v>
      </c>
      <c r="E86" s="82">
        <f>SUMIFS(Dataset!AJ:AJ,Dataset!F:F,credito!$D$11,Dataset!AH:AH,"deposito",Dataset!T:T,"$",Dataset!J:J,"&lt;"&amp;$D86,Dataset!J:J,"&gt;="&amp;$C86)</f>
        <v>0</v>
      </c>
      <c r="F86" s="83">
        <f>SUMIFS(Dataset!AJ:AJ,Dataset!F:F,credito!$D$11,Dataset!AH:AH,"deposito",Dataset!T:T,"UF",Dataset!J:J,"&lt;"&amp;$D86,Dataset!J:J,"&gt;="&amp;$C86)</f>
        <v>0</v>
      </c>
      <c r="G86" s="83">
        <f>SUMIFS(Dataset!AJ:AJ,Dataset!F:F,credito!$D$11,Dataset!AH:AH,"bono de gobierno",Dataset!T:T,"$",Dataset!J:J,"&lt;"&amp;$D86,Dataset!J:J,"&gt;="&amp;$C86)</f>
        <v>0</v>
      </c>
      <c r="H86" s="83">
        <f>SUMIFS(Dataset!AJ:AJ,Dataset!F:F,credito!$D$11,Dataset!AH:AH,"bono de gobierno",Dataset!T:T,"UF",Dataset!J:J,"&lt;"&amp;$D86,Dataset!J:J,"&gt;="&amp;$C86)</f>
        <v>0</v>
      </c>
      <c r="I86" s="83">
        <f>SUMIFS(Dataset!AJ:AJ,Dataset!F:F,credito!$D$11,Dataset!AH:AH,"bono de gobierno",Dataset!T:T,"eu",Dataset!J:J,"&lt;"&amp;$D86,Dataset!J:J,"&gt;="&amp;$C86)</f>
        <v>0</v>
      </c>
      <c r="J86" s="83">
        <f>SUMIFS(Dataset!AJ:AJ,Dataset!F:F,credito!$D$11,Dataset!AH:AH,"bono de gobierno",Dataset!T:T,"mx",Dataset!J:J,"&lt;"&amp;$D86,Dataset!J:J,"&gt;="&amp;$C86)</f>
        <v>0</v>
      </c>
      <c r="K86" s="83">
        <f>SUMIFS(Dataset!AJ:AJ,Dataset!F:F,credito!$D$11,Dataset!AH:AH,"bono corporativo",Dataset!T:T,"$",Dataset!J:J,"&lt;"&amp;$D86,Dataset!J:J,"&gt;="&amp;$C86)</f>
        <v>0</v>
      </c>
      <c r="L86" s="83">
        <f>SUMIFS(Dataset!AJ:AJ,Dataset!F:F,credito!$D$11,Dataset!AH:AH,"bono corporativo",Dataset!T:T,"UF",Dataset!J:J,"&lt;"&amp;$D86,Dataset!J:J,"&gt;="&amp;$C86)</f>
        <v>-1.4186992579613001E-2</v>
      </c>
      <c r="M86" s="83">
        <f>SUMIFS(Dataset!AJ:AJ,Dataset!F:F,credito!$D$11,Dataset!AH:AH,"bono corporativo",Dataset!T:T,"US$",Dataset!J:J,"&lt;"&amp;$D86,Dataset!J:J,"&gt;="&amp;$C86)</f>
        <v>0</v>
      </c>
      <c r="N86" s="83">
        <f>SUMIFS(Dataset!AJ:AJ,Dataset!F:F,credito!$D$11,Dataset!J:J,"&lt;"&amp;$D86,Dataset!J:J,"&gt;="&amp;$C86,Dataset!AH:AH,"&lt;&gt;bono corporativo",Dataset!AH:AH,"&lt;&gt;bono de gobierno",Dataset!AH:AH,"&lt;&gt;deposito")</f>
        <v>0</v>
      </c>
      <c r="O86" s="84">
        <f t="shared" si="8"/>
        <v>-1.4186992579613001E-2</v>
      </c>
      <c r="P86" s="82">
        <f>SUMIFS(Dataset!AA:AA,Dataset!F:F,credito!$D$11,Dataset!AH:AH,"deposito",Dataset!T:T,"$",Dataset!J:J,"&lt;"&amp;$D86,Dataset!J:J,"&gt;="&amp;$C86)</f>
        <v>0</v>
      </c>
      <c r="Q86" s="83">
        <f>SUMIFS(Dataset!AA:AA,Dataset!F:F,credito!$D$11,Dataset!AH:AH,"deposito",Dataset!T:T,"UF",Dataset!J:J,"&lt;"&amp;$D86,Dataset!J:J,"&gt;="&amp;$C86)</f>
        <v>0</v>
      </c>
      <c r="R86" s="83">
        <f>SUMIFS(Dataset!AA:AA,Dataset!F:F,credito!$D$11,Dataset!AH:AH,"bono de gobierno",Dataset!T:T,"$",Dataset!J:J,"&lt;"&amp;$D86,Dataset!J:J,"&gt;="&amp;$C86)</f>
        <v>0</v>
      </c>
      <c r="S86" s="83">
        <f>SUMIFS(Dataset!AA:AA,Dataset!F:F,credito!$D$11,Dataset!AH:AH,"bono de gobierno",Dataset!T:T,"UF",Dataset!J:J,"&lt;"&amp;$D86,Dataset!J:J,"&gt;="&amp;$C86)</f>
        <v>0</v>
      </c>
      <c r="T86" s="83">
        <f>SUMIFS(Dataset!AA:AA,Dataset!F:F,credito!$D$11,Dataset!AH:AH,"bono de gobierno",Dataset!T:T,"EU",Dataset!J:J,"&lt;"&amp;$D86,Dataset!J:J,"&gt;="&amp;$C86)</f>
        <v>0</v>
      </c>
      <c r="U86" s="83">
        <f>SUMIFS(Dataset!AA:AA,Dataset!F:F,credito!$D$11,Dataset!AH:AH,"bono de gobierno",Dataset!T:T,"MX",Dataset!J:J,"&lt;"&amp;$D86,Dataset!J:J,"&gt;="&amp;$C86)</f>
        <v>0</v>
      </c>
      <c r="V86" s="83">
        <f>SUMIFS(Dataset!AA:AA,Dataset!F:F,credito!$D$11,Dataset!AH:AH,"bono corporativo",Dataset!T:T,"$",Dataset!J:J,"&lt;"&amp;$D86,Dataset!J:J,"&gt;="&amp;$C86)</f>
        <v>0</v>
      </c>
      <c r="W86" s="83">
        <f>SUMIFS(Dataset!AA:AA,Dataset!F:F,credito!$D$11,Dataset!AH:AH,"bono corporativo",Dataset!T:T,"UF",Dataset!J:J,"&lt;"&amp;$D86,Dataset!J:J,"&gt;="&amp;$C86)</f>
        <v>3.1260441126894488E-2</v>
      </c>
      <c r="X86" s="83">
        <f>SUMIFS(Dataset!AA:AA,Dataset!F:F,credito!$D$11,Dataset!AH:AH,"bono corporativo",Dataset!T:T,"US$",Dataset!J:J,"&lt;"&amp;$D86,Dataset!J:J,"&gt;="&amp;$C86)</f>
        <v>0</v>
      </c>
      <c r="Y86" s="83">
        <f>SUMIFS(Dataset!AA:AA,Dataset!F:F,credito!$D$11,Dataset!J:J,"&lt;"&amp;$D86,Dataset!J:J,"&gt;="&amp;$C86,Dataset!AH:AH,"&lt;&gt;bono corporativo",Dataset!AH:AH,"&lt;&gt;bono de gobierno",Dataset!AH:AH,"&lt;&gt;deposito")</f>
        <v>0</v>
      </c>
      <c r="Z86" s="84">
        <f t="shared" si="9"/>
        <v>3.1260441126894488E-2</v>
      </c>
      <c r="AB86" s="61">
        <v>225</v>
      </c>
      <c r="AC86" s="100">
        <v>240</v>
      </c>
      <c r="AD86" s="101">
        <f>SUMIFS(Dataset!AJ:AJ,Dataset!F:F,credito!$D$11,Dataset!AH:AH,"deposito",Dataset!T:T,"$",Dataset!J:J,"&lt;"&amp;$AC86/365,Dataset!J:J,"&gt;="&amp;$AB86/365)</f>
        <v>2.6611288233387162E-3</v>
      </c>
      <c r="AE86" s="101">
        <f>SUMIFS(Dataset!AJ:AJ,Dataset!F:F,credito!$D$11,Dataset!AH:AH,"deposito",Dataset!T:T,"uf",Dataset!J:J,"&lt;"&amp;$AC86/365,Dataset!J:J,"&gt;="&amp;$AB86/365)</f>
        <v>0</v>
      </c>
      <c r="AF86" s="101">
        <f>SUMIFS(Dataset!AJ:AJ,Dataset!F:F,credito!$D$11,Dataset!AH:AH,"deposito",Dataset!T:T,"us$",Dataset!J:J,"&lt;"&amp;$AC86/365,Dataset!J:J,"&gt;="&amp;$AB86/365)</f>
        <v>0</v>
      </c>
      <c r="AG86" s="101">
        <f>SUMIFS(Dataset!AJ:AJ,Dataset!F:F,credito!$D$11,Dataset!AH:AH,"factura",Dataset!J:J,"&lt;"&amp;$AC86/365,Dataset!J:J,"&gt;="&amp;$AB86/365)</f>
        <v>0</v>
      </c>
      <c r="AH86" s="102">
        <f>SUMIFS(Dataset!AJ:AJ,Dataset!F:F,credito!$D$11,Dataset!AH:AH,"letra hipotecaria",Dataset!J:J,"&lt;"&amp;$AC86/365,Dataset!J:J,"&gt;="&amp;$AB86/365)</f>
        <v>0</v>
      </c>
      <c r="AI86" s="84">
        <f t="shared" si="10"/>
        <v>2.6611288233387162E-3</v>
      </c>
    </row>
    <row r="87" spans="2:35" ht="27" customHeight="1" x14ac:dyDescent="0.3">
      <c r="C87" s="61">
        <v>14.5</v>
      </c>
      <c r="D87" s="81">
        <v>100</v>
      </c>
      <c r="E87" s="88">
        <f>SUMIFS(Dataset!AJ:AJ,Dataset!F:F,credito!$D$11,Dataset!AH:AH,"deposito",Dataset!T:T,"$",Dataset!J:J,"&lt;"&amp;$D87,Dataset!J:J,"&gt;="&amp;$C87)</f>
        <v>0</v>
      </c>
      <c r="F87" s="89">
        <f>SUMIFS(Dataset!AJ:AJ,Dataset!F:F,credito!$D$11,Dataset!AH:AH,"deposito",Dataset!T:T,"UF",Dataset!J:J,"&lt;"&amp;$D87,Dataset!J:J,"&gt;="&amp;$C87)</f>
        <v>0</v>
      </c>
      <c r="G87" s="89">
        <f>SUMIFS(Dataset!AJ:AJ,Dataset!F:F,credito!$D$11,Dataset!AH:AH,"bono de gobierno",Dataset!T:T,"$",Dataset!J:J,"&lt;"&amp;$D87,Dataset!J:J,"&gt;="&amp;$C87)</f>
        <v>0</v>
      </c>
      <c r="H87" s="89">
        <f>SUMIFS(Dataset!AJ:AJ,Dataset!F:F,credito!$D$11,Dataset!AH:AH,"bono de gobierno",Dataset!T:T,"UF",Dataset!J:J,"&lt;"&amp;$D87,Dataset!J:J,"&gt;="&amp;$C87)</f>
        <v>0</v>
      </c>
      <c r="I87" s="89">
        <f>SUMIFS(Dataset!AJ:AJ,Dataset!F:F,credito!$D$11,Dataset!AH:AH,"bono de gobierno",Dataset!T:T,"eu",Dataset!J:J,"&lt;"&amp;$D87,Dataset!J:J,"&gt;="&amp;$C87)</f>
        <v>0</v>
      </c>
      <c r="J87" s="89">
        <f>SUMIFS(Dataset!AJ:AJ,Dataset!F:F,credito!$D$11,Dataset!AH:AH,"bono de gobierno",Dataset!T:T,"mx",Dataset!J:J,"&lt;"&amp;$D87,Dataset!J:J,"&gt;="&amp;$C87)</f>
        <v>0</v>
      </c>
      <c r="K87" s="89">
        <f>SUMIFS(Dataset!AJ:AJ,Dataset!F:F,credito!$D$11,Dataset!AH:AH,"bono corporativo",Dataset!T:T,"$",Dataset!J:J,"&lt;"&amp;$D87,Dataset!J:J,"&gt;="&amp;$C87)</f>
        <v>0</v>
      </c>
      <c r="L87" s="89">
        <f>SUMIFS(Dataset!AJ:AJ,Dataset!F:F,credito!$D$11,Dataset!AH:AH,"bono corporativo",Dataset!T:T,"UF",Dataset!J:J,"&lt;"&amp;$D87,Dataset!J:J,"&gt;="&amp;$C87)</f>
        <v>-1.0487013521240126E-2</v>
      </c>
      <c r="M87" s="89">
        <f>SUMIFS(Dataset!AJ:AJ,Dataset!F:F,credito!$D$11,Dataset!AH:AH,"bono corporativo",Dataset!T:T,"US$",Dataset!J:J,"&lt;"&amp;$D87,Dataset!J:J,"&gt;="&amp;$C87)</f>
        <v>0</v>
      </c>
      <c r="N87" s="89">
        <f>SUMIFS(Dataset!AJ:AJ,Dataset!F:F,credito!$D$11,Dataset!J:J,"&lt;"&amp;$D87,Dataset!J:J,"&gt;="&amp;$C87,Dataset!AH:AH,"&lt;&gt;bono corporativo",Dataset!AH:AH,"&lt;&gt;bono de gobierno",Dataset!AH:AH,"&lt;&gt;deposito")</f>
        <v>0</v>
      </c>
      <c r="O87" s="90">
        <f t="shared" si="8"/>
        <v>-1.0487013521240126E-2</v>
      </c>
      <c r="P87" s="88">
        <f>SUMIFS(Dataset!AA:AA,Dataset!F:F,credito!$D$11,Dataset!AH:AH,"deposito",Dataset!T:T,"$",Dataset!J:J,"&lt;"&amp;$D87,Dataset!J:J,"&gt;="&amp;$C87)</f>
        <v>0</v>
      </c>
      <c r="Q87" s="89">
        <f>SUMIFS(Dataset!AA:AA,Dataset!F:F,credito!$D$11,Dataset!AH:AH,"deposito",Dataset!T:T,"UF",Dataset!J:J,"&lt;"&amp;$D87,Dataset!J:J,"&gt;="&amp;$C87)</f>
        <v>0</v>
      </c>
      <c r="R87" s="89">
        <f>SUMIFS(Dataset!AA:AA,Dataset!F:F,credito!$D$11,Dataset!AH:AH,"bono de gobierno",Dataset!T:T,"$",Dataset!J:J,"&lt;"&amp;$D87,Dataset!J:J,"&gt;="&amp;$C87)</f>
        <v>0</v>
      </c>
      <c r="S87" s="89">
        <f>SUMIFS(Dataset!AA:AA,Dataset!F:F,credito!$D$11,Dataset!AH:AH,"bono de gobierno",Dataset!T:T,"UF",Dataset!J:J,"&lt;"&amp;$D87,Dataset!J:J,"&gt;="&amp;$C87)</f>
        <v>0</v>
      </c>
      <c r="T87" s="89">
        <f>SUMIFS(Dataset!AA:AA,Dataset!F:F,credito!$D$11,Dataset!AH:AH,"bono de gobierno",Dataset!T:T,"EU",Dataset!J:J,"&lt;"&amp;$D87,Dataset!J:J,"&gt;="&amp;$C87)</f>
        <v>0</v>
      </c>
      <c r="U87" s="89">
        <f>SUMIFS(Dataset!AA:AA,Dataset!F:F,credito!$D$11,Dataset!AH:AH,"bono de gobierno",Dataset!T:T,"MX",Dataset!J:J,"&lt;"&amp;$D87,Dataset!J:J,"&gt;="&amp;$C87)</f>
        <v>0</v>
      </c>
      <c r="V87" s="89">
        <f>SUMIFS(Dataset!AA:AA,Dataset!F:F,credito!$D$11,Dataset!AH:AH,"bono corporativo",Dataset!T:T,"$",Dataset!J:J,"&lt;"&amp;$D87,Dataset!J:J,"&gt;="&amp;$C87)</f>
        <v>0</v>
      </c>
      <c r="W87" s="89">
        <f>SUMIFS(Dataset!AA:AA,Dataset!F:F,credito!$D$11,Dataset!AH:AH,"bono corporativo",Dataset!T:T,"UF",Dataset!J:J,"&lt;"&amp;$D87,Dataset!J:J,"&gt;="&amp;$C87)</f>
        <v>2.3306038183960483E-2</v>
      </c>
      <c r="X87" s="89">
        <f>SUMIFS(Dataset!AA:AA,Dataset!F:F,credito!$D$11,Dataset!AH:AH,"bono corporativo",Dataset!T:T,"US$",Dataset!J:J,"&lt;"&amp;$D87,Dataset!J:J,"&gt;="&amp;$C87)</f>
        <v>0</v>
      </c>
      <c r="Y87" s="89">
        <f>SUMIFS(Dataset!AA:AA,Dataset!F:F,credito!$D$11,Dataset!J:J,"&lt;"&amp;$D87,Dataset!J:J,"&gt;="&amp;$C87,Dataset!AH:AH,"&lt;&gt;bono corporativo",Dataset!AH:AH,"&lt;&gt;bono de gobierno",Dataset!AH:AH,"&lt;&gt;deposito")</f>
        <v>0</v>
      </c>
      <c r="Z87" s="90">
        <f t="shared" si="9"/>
        <v>2.3306038183960483E-2</v>
      </c>
      <c r="AB87" s="61">
        <v>240</v>
      </c>
      <c r="AC87" s="100">
        <v>255</v>
      </c>
      <c r="AD87" s="101">
        <f>SUMIFS(Dataset!AJ:AJ,Dataset!F:F,credito!$D$11,Dataset!AH:AH,"deposito",Dataset!T:T,"$",Dataset!J:J,"&lt;"&amp;$AC87/365,Dataset!J:J,"&gt;="&amp;$AB87/365)</f>
        <v>0</v>
      </c>
      <c r="AE87" s="101">
        <f>SUMIFS(Dataset!AJ:AJ,Dataset!F:F,credito!$D$11,Dataset!AH:AH,"deposito",Dataset!T:T,"uf",Dataset!J:J,"&lt;"&amp;$AC87/365,Dataset!J:J,"&gt;="&amp;$AB87/365)</f>
        <v>0</v>
      </c>
      <c r="AF87" s="101">
        <f>SUMIFS(Dataset!AJ:AJ,Dataset!F:F,credito!$D$11,Dataset!AH:AH,"deposito",Dataset!T:T,"us$",Dataset!J:J,"&lt;"&amp;$AC87/365,Dataset!J:J,"&gt;="&amp;$AB87/365)</f>
        <v>0</v>
      </c>
      <c r="AG87" s="101">
        <f>SUMIFS(Dataset!AJ:AJ,Dataset!F:F,credito!$D$11,Dataset!AH:AH,"factura",Dataset!J:J,"&lt;"&amp;$AC87/365,Dataset!J:J,"&gt;="&amp;$AB87/365)</f>
        <v>0</v>
      </c>
      <c r="AH87" s="102">
        <f>SUMIFS(Dataset!AJ:AJ,Dataset!F:F,credito!$D$11,Dataset!AH:AH,"letra hipotecaria",Dataset!J:J,"&lt;"&amp;$AC87/365,Dataset!J:J,"&gt;="&amp;$AB87/365)</f>
        <v>0</v>
      </c>
      <c r="AI87" s="84">
        <f t="shared" si="10"/>
        <v>0</v>
      </c>
    </row>
    <row r="88" spans="2:35" ht="48" customHeight="1" x14ac:dyDescent="0.3">
      <c r="C88" s="179"/>
      <c r="D88" s="180"/>
      <c r="E88" s="83">
        <f t="shared" ref="E88:N88" si="11">SUM(E72:E87)</f>
        <v>6.2350878329907556E-3</v>
      </c>
      <c r="F88" s="83">
        <f t="shared" si="11"/>
        <v>0</v>
      </c>
      <c r="G88" s="83">
        <f t="shared" si="11"/>
        <v>0</v>
      </c>
      <c r="H88" s="83">
        <f t="shared" si="11"/>
        <v>2.4643468838122844E-2</v>
      </c>
      <c r="I88" s="83">
        <f t="shared" si="11"/>
        <v>0</v>
      </c>
      <c r="J88" s="83">
        <f t="shared" si="11"/>
        <v>0</v>
      </c>
      <c r="K88" s="83">
        <f t="shared" si="11"/>
        <v>7.4245959817718588E-2</v>
      </c>
      <c r="L88" s="83">
        <f t="shared" si="11"/>
        <v>-0.17338250161751961</v>
      </c>
      <c r="M88" s="83">
        <f t="shared" si="11"/>
        <v>2.6625220097361988E-2</v>
      </c>
      <c r="N88" s="83">
        <f t="shared" si="11"/>
        <v>1.7692695378199196E-2</v>
      </c>
      <c r="O88" s="84">
        <f t="shared" si="8"/>
        <v>-2.3940069653126249E-2</v>
      </c>
      <c r="P88" s="83">
        <f t="shared" ref="P88:Y88" si="12">SUM(P72:P87)</f>
        <v>-1.07358145506232E-3</v>
      </c>
      <c r="Q88" s="83">
        <f t="shared" si="12"/>
        <v>0</v>
      </c>
      <c r="R88" s="83">
        <f t="shared" si="12"/>
        <v>0</v>
      </c>
      <c r="S88" s="83">
        <f t="shared" si="12"/>
        <v>-2.431623821872363E-2</v>
      </c>
      <c r="T88" s="83">
        <f t="shared" si="12"/>
        <v>0</v>
      </c>
      <c r="U88" s="83">
        <f t="shared" si="12"/>
        <v>0</v>
      </c>
      <c r="V88" s="83">
        <f t="shared" si="12"/>
        <v>4.6258013294935146E-2</v>
      </c>
      <c r="W88" s="83">
        <f t="shared" si="12"/>
        <v>0.8700609689884421</v>
      </c>
      <c r="X88" s="83">
        <f t="shared" si="12"/>
        <v>0.29443478752271596</v>
      </c>
      <c r="Y88" s="83">
        <f t="shared" si="12"/>
        <v>-0.18536395013230691</v>
      </c>
      <c r="Z88" s="84">
        <f t="shared" si="9"/>
        <v>1.0000000000000002</v>
      </c>
      <c r="AB88" s="61">
        <v>255</v>
      </c>
      <c r="AC88" s="100">
        <v>270</v>
      </c>
      <c r="AD88" s="101">
        <f>SUMIFS(Dataset!AJ:AJ,Dataset!F:F,credito!$D$11,Dataset!AH:AH,"deposito",Dataset!T:T,"$",Dataset!J:J,"&lt;"&amp;$AC88/365,Dataset!J:J,"&gt;="&amp;$AB88/365)</f>
        <v>0</v>
      </c>
      <c r="AE88" s="101">
        <f>SUMIFS(Dataset!AJ:AJ,Dataset!F:F,credito!$D$11,Dataset!AH:AH,"deposito",Dataset!T:T,"uf",Dataset!J:J,"&lt;"&amp;$AC88/365,Dataset!J:J,"&gt;="&amp;$AB88/365)</f>
        <v>0</v>
      </c>
      <c r="AF88" s="101">
        <f>SUMIFS(Dataset!AJ:AJ,Dataset!F:F,credito!$D$11,Dataset!AH:AH,"deposito",Dataset!T:T,"us$",Dataset!J:J,"&lt;"&amp;$AC88/365,Dataset!J:J,"&gt;="&amp;$AB88/365)</f>
        <v>0</v>
      </c>
      <c r="AG88" s="101">
        <f>SUMIFS(Dataset!AJ:AJ,Dataset!F:F,credito!$D$11,Dataset!AH:AH,"factura",Dataset!J:J,"&lt;"&amp;$AC88/365,Dataset!J:J,"&gt;="&amp;$AB88/365)</f>
        <v>0</v>
      </c>
      <c r="AH88" s="102">
        <f>SUMIFS(Dataset!AJ:AJ,Dataset!F:F,credito!$D$11,Dataset!AH:AH,"letra hipotecaria",Dataset!J:J,"&lt;"&amp;$AC88/365,Dataset!J:J,"&gt;="&amp;$AB88/365)</f>
        <v>0</v>
      </c>
      <c r="AI88" s="84">
        <f t="shared" si="10"/>
        <v>0</v>
      </c>
    </row>
    <row r="89" spans="2:35" ht="27" customHeight="1" x14ac:dyDescent="0.3">
      <c r="F89" s="69"/>
      <c r="G89" s="69"/>
      <c r="H89" s="69"/>
      <c r="I89" s="69"/>
      <c r="J89" s="69"/>
      <c r="K89" s="69"/>
      <c r="L89" s="70"/>
      <c r="O89" s="69"/>
      <c r="P89" s="69"/>
      <c r="Q89" s="69"/>
      <c r="R89" s="69"/>
      <c r="S89" s="69"/>
      <c r="T89" s="69"/>
      <c r="U89" s="69"/>
      <c r="V89" s="70"/>
      <c r="AB89" s="61">
        <v>270</v>
      </c>
      <c r="AC89" s="100">
        <v>285</v>
      </c>
      <c r="AD89" s="101">
        <f>SUMIFS(Dataset!AJ:AJ,Dataset!F:F,credito!$D$11,Dataset!AH:AH,"deposito",Dataset!T:T,"$",Dataset!J:J,"&lt;"&amp;$AC89/365,Dataset!J:J,"&gt;="&amp;$AB89/365)</f>
        <v>0</v>
      </c>
      <c r="AE89" s="101">
        <f>SUMIFS(Dataset!AJ:AJ,Dataset!F:F,credito!$D$11,Dataset!AH:AH,"deposito",Dataset!T:T,"uf",Dataset!J:J,"&lt;"&amp;$AC89/365,Dataset!J:J,"&gt;="&amp;$AB89/365)</f>
        <v>0</v>
      </c>
      <c r="AF89" s="101">
        <f>SUMIFS(Dataset!AJ:AJ,Dataset!F:F,credito!$D$11,Dataset!AH:AH,"deposito",Dataset!T:T,"us$",Dataset!J:J,"&lt;"&amp;$AC89/365,Dataset!J:J,"&gt;="&amp;$AB89/365)</f>
        <v>0</v>
      </c>
      <c r="AG89" s="101">
        <f>SUMIFS(Dataset!AJ:AJ,Dataset!F:F,credito!$D$11,Dataset!AH:AH,"factura",Dataset!J:J,"&lt;"&amp;$AC89/365,Dataset!J:J,"&gt;="&amp;$AB89/365)</f>
        <v>0</v>
      </c>
      <c r="AH89" s="102">
        <f>SUMIFS(Dataset!AJ:AJ,Dataset!F:F,credito!$D$11,Dataset!AH:AH,"letra hipotecaria",Dataset!J:J,"&lt;"&amp;$AC89/365,Dataset!J:J,"&gt;="&amp;$AB89/365)</f>
        <v>0</v>
      </c>
      <c r="AI89" s="84">
        <f t="shared" si="10"/>
        <v>0</v>
      </c>
    </row>
    <row r="90" spans="2:35" ht="33" customHeight="1" x14ac:dyDescent="0.3">
      <c r="C90" s="177" t="s">
        <v>68</v>
      </c>
      <c r="D90" s="177"/>
      <c r="E90" s="94" t="s">
        <v>48</v>
      </c>
      <c r="F90" s="94" t="s">
        <v>42</v>
      </c>
      <c r="G90" s="94" t="s">
        <v>36</v>
      </c>
      <c r="H90" s="94" t="s">
        <v>33</v>
      </c>
      <c r="I90" s="94" t="s">
        <v>34</v>
      </c>
      <c r="J90" s="94" t="s">
        <v>51</v>
      </c>
      <c r="K90" s="94" t="s">
        <v>50</v>
      </c>
      <c r="L90" s="94" t="s">
        <v>79</v>
      </c>
      <c r="M90" s="94"/>
      <c r="N90" s="94" t="s">
        <v>48</v>
      </c>
      <c r="O90" s="94" t="s">
        <v>42</v>
      </c>
      <c r="P90" s="94" t="s">
        <v>36</v>
      </c>
      <c r="Q90" s="94" t="s">
        <v>33</v>
      </c>
      <c r="R90" s="94" t="s">
        <v>34</v>
      </c>
      <c r="S90" s="94" t="s">
        <v>51</v>
      </c>
      <c r="T90" s="94" t="s">
        <v>50</v>
      </c>
      <c r="U90" s="94" t="s">
        <v>79</v>
      </c>
      <c r="V90" s="94"/>
      <c r="AB90" s="61">
        <v>285</v>
      </c>
      <c r="AC90" s="100">
        <v>300</v>
      </c>
      <c r="AD90" s="101">
        <f>SUMIFS(Dataset!AJ:AJ,Dataset!F:F,credito!$D$11,Dataset!AH:AH,"deposito",Dataset!T:T,"$",Dataset!J:J,"&lt;"&amp;$AC90/365,Dataset!J:J,"&gt;="&amp;$AB90/365)</f>
        <v>0</v>
      </c>
      <c r="AE90" s="101">
        <f>SUMIFS(Dataset!AJ:AJ,Dataset!F:F,credito!$D$11,Dataset!AH:AH,"deposito",Dataset!T:T,"uf",Dataset!J:J,"&lt;"&amp;$AC90/365,Dataset!J:J,"&gt;="&amp;$AB90/365)</f>
        <v>0</v>
      </c>
      <c r="AF90" s="101">
        <f>SUMIFS(Dataset!AJ:AJ,Dataset!F:F,credito!$D$11,Dataset!AH:AH,"deposito",Dataset!T:T,"us$",Dataset!J:J,"&lt;"&amp;$AC90/365,Dataset!J:J,"&gt;="&amp;$AB90/365)</f>
        <v>0</v>
      </c>
      <c r="AG90" s="101">
        <f>SUMIFS(Dataset!AJ:AJ,Dataset!F:F,credito!$D$11,Dataset!AH:AH,"factura",Dataset!J:J,"&lt;"&amp;$AC90/365,Dataset!J:J,"&gt;="&amp;$AB90/365)</f>
        <v>0</v>
      </c>
      <c r="AH90" s="102">
        <f>SUMIFS(Dataset!AJ:AJ,Dataset!F:F,credito!$D$11,Dataset!AH:AH,"letra hipotecaria",Dataset!J:J,"&lt;"&amp;$AC90/365,Dataset!J:J,"&gt;="&amp;$AB90/365)</f>
        <v>0</v>
      </c>
      <c r="AI90" s="84">
        <f t="shared" si="10"/>
        <v>0</v>
      </c>
    </row>
    <row r="91" spans="2:35" ht="33" customHeight="1" x14ac:dyDescent="0.3">
      <c r="C91" s="72">
        <v>0</v>
      </c>
      <c r="D91" s="73">
        <v>0.5</v>
      </c>
      <c r="E91" s="74">
        <f>SUMIFS(Dataset!$AJ:$AJ,Dataset!$F:$F,credito!$D$11,Dataset!$AC:$AC,E$90,Dataset!$J:$J,"&lt;"&amp;$D91,Dataset!$J:$J,"&gt;="&amp;$C91)</f>
        <v>2.9136544823443441E-3</v>
      </c>
      <c r="F91" s="83">
        <f>SUMIFS(Dataset!$AJ:$AJ,Dataset!$F:$F,credito!$D$11,Dataset!$AC:$AC,F$90,Dataset!$J:$J,"&lt;"&amp;$D91,Dataset!$J:$J,"&gt;="&amp;$C91)</f>
        <v>0</v>
      </c>
      <c r="G91" s="83">
        <f>SUMIFS(Dataset!$AJ:$AJ,Dataset!$F:$F,credito!$D$11,Dataset!$AC:$AC,G$90,Dataset!$J:$J,"&lt;"&amp;$D91,Dataset!$J:$J,"&gt;="&amp;$C91)</f>
        <v>0</v>
      </c>
      <c r="H91" s="83">
        <f>SUMIFS(Dataset!$AJ:$AJ,Dataset!$F:$F,credito!$D$11,Dataset!$AC:$AC,H$90,Dataset!$J:$J,"&lt;"&amp;$D91,Dataset!$J:$J,"&gt;="&amp;$C91)</f>
        <v>0</v>
      </c>
      <c r="I91" s="83">
        <f>SUMIFS(Dataset!$AJ:$AJ,Dataset!$F:$F,credito!$D$11,Dataset!$AC:$AC,I$90,Dataset!$J:$J,"&lt;"&amp;$D91,Dataset!$J:$J,"&gt;="&amp;$C91)</f>
        <v>1.853482012501373E-4</v>
      </c>
      <c r="J91" s="83">
        <f>SUMIFS(Dataset!$AJ:$AJ,Dataset!$F:$F,credito!$D$11,Dataset!$AC:$AC,"A",Dataset!$J:$J,"&lt;"&amp;$D91,Dataset!$J:$J,"&gt;="&amp;$C91)+SUMIFS(Dataset!$AJ:$AJ,Dataset!$F:$F,credito!$D$11,Dataset!$AC:$AC,"A-",Dataset!$J:$J,"&lt;"&amp;$D91,Dataset!$J:$J,"&gt;="&amp;$C91)+SUMIFS(Dataset!$AJ:$AJ,Dataset!$F:$F,credito!$D$11,Dataset!$AC:$AC,"A+",Dataset!$J:$J,"&lt;"&amp;$D91,Dataset!$J:$J,"&gt;="&amp;$C91)</f>
        <v>1.9618357700921319E-3</v>
      </c>
      <c r="K91" s="83">
        <f>SUMIFS(Dataset!$AJ:$AJ,Dataset!$F:$F,credito!$D$11,Dataset!$AC:$AC,"BBB-",Dataset!$J:$J,"&lt;"&amp;$D91,Dataset!$J:$J,"&gt;="&amp;$C91)+SUMIFS(Dataset!$AJ:$AJ,Dataset!$F:$F,credito!$D$11,Dataset!$AC:$AC,"BBB",Dataset!$J:$J,"&lt;"&amp;$D91,Dataset!$J:$J,"&gt;="&amp;$C91)+SUMIFS(Dataset!$AJ:$AJ,Dataset!$F:$F,credito!$D$11,Dataset!$AC:$AC,"BBB+",Dataset!$J:$J,"&lt;"&amp;$D91,Dataset!$J:$J,"&gt;="&amp;$C91)</f>
        <v>0</v>
      </c>
      <c r="L91" s="75">
        <f>SUMIFS(Dataset!$AJ:$AJ,Dataset!$F:$F,credito!$D$11,Dataset!$J:$J,"&lt;"&amp;$D91,Dataset!$J:$J,"&gt;="&amp;$C91,Dataset!$AC:$AC,"&lt;&gt;N-1+",Dataset!$AC:$AC,"&lt;&gt;*AA*",Dataset!$AC:$AC,"&lt;&gt;*AAA*",Dataset!$AC:$AC,"&lt;&gt;A",Dataset!$AC:$AC,"&lt;&gt;A-",Dataset!$AC:$AC,"&lt;&gt;A+",Dataset!$AC:$AC,"&lt;&gt;*BBB*")</f>
        <v>1.7692695378199196E-2</v>
      </c>
      <c r="M91" s="84">
        <f t="shared" ref="M91:M107" si="13">SUM(E91:L91)</f>
        <v>2.275353383188581E-2</v>
      </c>
      <c r="N91" s="74">
        <f>SUMIFS(Dataset!$AA:$AA,Dataset!$F:$F,credito!$D$11,Dataset!$AC:$AC,N$90,Dataset!$J:$J,"&lt;"&amp;$D91,Dataset!$J:$J,"&gt;="&amp;$C91)</f>
        <v>-3.8218430427934563E-4</v>
      </c>
      <c r="O91" s="75">
        <f>SUMIFS(Dataset!$AA:$AA,Dataset!$F:$F,credito!$D$11,Dataset!$AC:$AC,O$90,Dataset!$J:$J,"&lt;"&amp;$D91,Dataset!$J:$J,"&gt;="&amp;$C91)</f>
        <v>0</v>
      </c>
      <c r="P91" s="75">
        <f>SUMIFS(Dataset!$AA:$AA,Dataset!$F:$F,credito!$D$11,Dataset!$AC:$AC,P$90,Dataset!$J:$J,"&lt;"&amp;$D91,Dataset!$J:$J,"&gt;="&amp;$C91)</f>
        <v>0</v>
      </c>
      <c r="Q91" s="75">
        <f>SUMIFS(Dataset!$AA:$AA,Dataset!$F:$F,credito!$D$11,Dataset!$AC:$AC,Q$90,Dataset!$J:$J,"&lt;"&amp;$D91,Dataset!$J:$J,"&gt;="&amp;$C91)</f>
        <v>0</v>
      </c>
      <c r="R91" s="75">
        <f>SUMIFS(Dataset!$AA:$AA,Dataset!$F:$F,credito!$D$11,Dataset!$AC:$AC,R$90,Dataset!$J:$J,"&lt;"&amp;$D91,Dataset!$J:$J,"&gt;="&amp;$C91)</f>
        <v>-8.6088577602314536E-5</v>
      </c>
      <c r="S91" s="75">
        <f>SUMIFS(Dataset!$AA:$AA,Dataset!$F:$F,credito!$D$11,Dataset!$AC:$AC,"A",Dataset!$J:$J,"&lt;"&amp;$D91,Dataset!$J:$J,"&gt;="&amp;$C91)+SUMIFS(Dataset!$AA:$AA,Dataset!$F:$F,credito!$D$11,Dataset!$AC:$AC,"A-",Dataset!$J:$J,"&lt;"&amp;$D91,Dataset!$J:$J,"&gt;="&amp;$C91)+SUMIFS(Dataset!$AA:$AA,Dataset!$F:$F,credito!$D$11,Dataset!$AC:$AC,"A+",Dataset!$J:$J,"&lt;"&amp;$D91,Dataset!$J:$J,"&gt;="&amp;$C91)</f>
        <v>-1.3922819984650541E-3</v>
      </c>
      <c r="T91" s="75">
        <f>SUMIFS(Dataset!$AA:$AA,Dataset!$F:$F,credito!$D$11,Dataset!$AC:$AC,"BBB-",Dataset!$J:$J,"&lt;"&amp;$D91,Dataset!$J:$J,"&gt;="&amp;$C91)+SUMIFS(Dataset!$AA:$AA,Dataset!$F:$F,credito!$D$11,Dataset!$AC:$AC,"BBB",Dataset!$J:$J,"&lt;"&amp;$D91,Dataset!$J:$J,"&gt;="&amp;$C91)+SUMIFS(Dataset!$AA:$AA,Dataset!$F:$F,credito!$D$11,Dataset!$AC:$AC,"BBB+",Dataset!$J:$J,"&lt;"&amp;$D91,Dataset!$J:$J,"&gt;="&amp;$C91)</f>
        <v>0</v>
      </c>
      <c r="U91" s="75">
        <f>SUMIFS(Dataset!$AA:$AA,Dataset!$F:$F,credito!$D$11,Dataset!$J:$J,"&lt;"&amp;$D91,Dataset!$J:$J,"&gt;="&amp;$C91,Dataset!$AC:$AC,"&lt;&gt;N-1+",Dataset!$AC:$AC,"&lt;&gt;*AA*",Dataset!$AC:$AC,"&lt;&gt;*AAA*",Dataset!$AC:$AC,"&lt;&gt;A",Dataset!$AC:$AC,"&lt;&gt;A-",Dataset!$AC:$AC,"&lt;&gt;A+",Dataset!$AC:$AC,"&lt;&gt;*BBB*")</f>
        <v>-0.18536395013230691</v>
      </c>
      <c r="V91" s="84">
        <f t="shared" ref="V91:V106" si="14">SUM(N91:U91)</f>
        <v>-0.18722450501265364</v>
      </c>
      <c r="AB91" s="61">
        <v>300</v>
      </c>
      <c r="AC91" s="100">
        <v>315</v>
      </c>
      <c r="AD91" s="101">
        <f>SUMIFS(Dataset!AJ:AJ,Dataset!F:F,credito!$D$11,Dataset!AH:AH,"deposito",Dataset!T:T,"$",Dataset!J:J,"&lt;"&amp;$AC91/365,Dataset!J:J,"&gt;="&amp;$AB91/365)</f>
        <v>6.6030452730769524E-4</v>
      </c>
      <c r="AE91" s="101">
        <f>SUMIFS(Dataset!AJ:AJ,Dataset!F:F,credito!$D$11,Dataset!AH:AH,"deposito",Dataset!T:T,"uf",Dataset!J:J,"&lt;"&amp;$AC91/365,Dataset!J:J,"&gt;="&amp;$AB91/365)</f>
        <v>0</v>
      </c>
      <c r="AF91" s="101">
        <f>SUMIFS(Dataset!AJ:AJ,Dataset!F:F,credito!$D$11,Dataset!AH:AH,"deposito",Dataset!T:T,"us$",Dataset!J:J,"&lt;"&amp;$AC91/365,Dataset!J:J,"&gt;="&amp;$AB91/365)</f>
        <v>0</v>
      </c>
      <c r="AG91" s="101">
        <f>SUMIFS(Dataset!AJ:AJ,Dataset!F:F,credito!$D$11,Dataset!AH:AH,"factura",Dataset!J:J,"&lt;"&amp;$AC91/365,Dataset!J:J,"&gt;="&amp;$AB91/365)</f>
        <v>0</v>
      </c>
      <c r="AH91" s="102">
        <f>SUMIFS(Dataset!AJ:AJ,Dataset!F:F,credito!$D$11,Dataset!AH:AH,"letra hipotecaria",Dataset!J:J,"&lt;"&amp;$AC91/365,Dataset!J:J,"&gt;="&amp;$AB91/365)</f>
        <v>0</v>
      </c>
      <c r="AI91" s="84">
        <f t="shared" ref="AI91:AI98" si="15">SUM(AD91:AH91)</f>
        <v>6.6030452730769524E-4</v>
      </c>
    </row>
    <row r="92" spans="2:35" ht="33" customHeight="1" x14ac:dyDescent="0.3">
      <c r="C92" s="61">
        <v>0.5</v>
      </c>
      <c r="D92" s="81">
        <v>1.5</v>
      </c>
      <c r="E92" s="82">
        <f>SUMIFS(Dataset!$AJ:$AJ,Dataset!$F:$F,credito!$D$11,Dataset!$AC:$AC,E$90,Dataset!$J:$J,"&lt;"&amp;$D92,Dataset!$J:$J,"&gt;="&amp;$C92)</f>
        <v>3.3214333506464116E-3</v>
      </c>
      <c r="F92" s="83">
        <f>SUMIFS(Dataset!$AJ:$AJ,Dataset!$F:$F,credito!$D$11,Dataset!$AC:$AC,F$90,Dataset!$J:$J,"&lt;"&amp;$D92,Dataset!$J:$J,"&gt;="&amp;$C92)</f>
        <v>1.3908330482594084E-3</v>
      </c>
      <c r="G92" s="83">
        <f>SUMIFS(Dataset!$AJ:$AJ,Dataset!$F:$F,credito!$D$11,Dataset!$AC:$AC,G$90,Dataset!$J:$J,"&lt;"&amp;$D92,Dataset!$J:$J,"&gt;="&amp;$C92)</f>
        <v>0</v>
      </c>
      <c r="H92" s="83">
        <f>SUMIFS(Dataset!$AJ:$AJ,Dataset!$F:$F,credito!$D$11,Dataset!$AC:$AC,H$90,Dataset!$J:$J,"&lt;"&amp;$D92,Dataset!$J:$J,"&gt;="&amp;$C92)</f>
        <v>1.8653647487179636E-2</v>
      </c>
      <c r="I92" s="83">
        <f>SUMIFS(Dataset!$AJ:$AJ,Dataset!$F:$F,credito!$D$11,Dataset!$AC:$AC,I$90,Dataset!$J:$J,"&lt;"&amp;$D92,Dataset!$J:$J,"&gt;="&amp;$C92)</f>
        <v>1.576425633300221E-2</v>
      </c>
      <c r="J92" s="83">
        <f>SUMIFS(Dataset!$AJ:$AJ,Dataset!$F:$F,credito!$D$11,Dataset!$AC:$AC,"A",Dataset!$J:$J,"&lt;"&amp;$D92,Dataset!$J:$J,"&gt;="&amp;$C92)+SUMIFS(Dataset!$AJ:$AJ,Dataset!$F:$F,credito!$D$11,Dataset!$AC:$AC,"A-",Dataset!$J:$J,"&lt;"&amp;$D92,Dataset!$J:$J,"&gt;="&amp;$C92)+SUMIFS(Dataset!$AJ:$AJ,Dataset!$F:$F,credito!$D$11,Dataset!$AC:$AC,"A+",Dataset!$J:$J,"&lt;"&amp;$D92,Dataset!$J:$J,"&gt;="&amp;$C92)</f>
        <v>-3.2773174119168171E-2</v>
      </c>
      <c r="K92" s="83">
        <f>SUMIFS(Dataset!$AJ:$AJ,Dataset!$F:$F,credito!$D$11,Dataset!$AC:$AC,"BBB-",Dataset!$J:$J,"&lt;"&amp;$D92,Dataset!$J:$J,"&gt;="&amp;$C92)+SUMIFS(Dataset!$AJ:$AJ,Dataset!$F:$F,credito!$D$11,Dataset!$AC:$AC,"BBB",Dataset!$J:$J,"&lt;"&amp;$D92,Dataset!$J:$J,"&gt;="&amp;$C92)+SUMIFS(Dataset!$AJ:$AJ,Dataset!$F:$F,credito!$D$11,Dataset!$AC:$AC,"BBB+",Dataset!$J:$J,"&lt;"&amp;$D92,Dataset!$J:$J,"&gt;="&amp;$C92)</f>
        <v>-7.5087549683876195E-3</v>
      </c>
      <c r="L92" s="83">
        <f>SUMIFS(Dataset!$AJ:$AJ,Dataset!$F:$F,credito!$D$11,Dataset!$J:$J,"&lt;"&amp;$D92,Dataset!$J:$J,"&gt;="&amp;$C92,Dataset!$AC:$AC,"&lt;&gt;N-1+",Dataset!$AC:$AC,"&lt;&gt;*AA*",Dataset!$AC:$AC,"&lt;&gt;*AAA*",Dataset!$AC:$AC,"&lt;&gt;A",Dataset!$AC:$AC,"&lt;&gt;A-",Dataset!$AC:$AC,"&lt;&gt;A+",Dataset!$AC:$AC,"&lt;&gt;*BBB*")</f>
        <v>0</v>
      </c>
      <c r="M92" s="84">
        <f t="shared" si="13"/>
        <v>-1.1517588684681196E-3</v>
      </c>
      <c r="N92" s="82">
        <f>SUMIFS(Dataset!$AA:$AA,Dataset!$F:$F,credito!$D$11,Dataset!$AC:$AC,N$90,Dataset!$J:$J,"&lt;"&amp;$D92,Dataset!$J:$J,"&gt;="&amp;$C92)</f>
        <v>-6.9139715078297428E-4</v>
      </c>
      <c r="O92" s="83">
        <f>SUMIFS(Dataset!$AA:$AA,Dataset!$F:$F,credito!$D$11,Dataset!$AC:$AC,O$90,Dataset!$J:$J,"&lt;"&amp;$D92,Dataset!$J:$J,"&gt;="&amp;$C92)</f>
        <v>-3.2446951897793059E-4</v>
      </c>
      <c r="P92" s="83">
        <f>SUMIFS(Dataset!$AA:$AA,Dataset!$F:$F,credito!$D$11,Dataset!$AC:$AC,P$90,Dataset!$J:$J,"&lt;"&amp;$D92,Dataset!$J:$J,"&gt;="&amp;$C92)</f>
        <v>0</v>
      </c>
      <c r="Q92" s="83">
        <f>SUMIFS(Dataset!$AA:$AA,Dataset!$F:$F,credito!$D$11,Dataset!$AC:$AC,Q$90,Dataset!$J:$J,"&lt;"&amp;$D92,Dataset!$J:$J,"&gt;="&amp;$C92)</f>
        <v>3.1319939733557547E-4</v>
      </c>
      <c r="R92" s="83">
        <f>SUMIFS(Dataset!$AA:$AA,Dataset!$F:$F,credito!$D$11,Dataset!$AC:$AC,R$90,Dataset!$J:$J,"&lt;"&amp;$D92,Dataset!$J:$J,"&gt;="&amp;$C92)</f>
        <v>1.2322719772203618E-4</v>
      </c>
      <c r="S92" s="83">
        <f>SUMIFS(Dataset!$AA:$AA,Dataset!$F:$F,credito!$D$11,Dataset!$AC:$AC,"A",Dataset!$J:$J,"&lt;"&amp;$D92,Dataset!$J:$J,"&gt;="&amp;$C92)+SUMIFS(Dataset!$AA:$AA,Dataset!$F:$F,credito!$D$11,Dataset!$AC:$AC,"A-",Dataset!$J:$J,"&lt;"&amp;$D92,Dataset!$J:$J,"&gt;="&amp;$C92)+SUMIFS(Dataset!$AA:$AA,Dataset!$F:$F,credito!$D$11,Dataset!$AC:$AC,"A+",Dataset!$J:$J,"&lt;"&amp;$D92,Dataset!$J:$J,"&gt;="&amp;$C92)</f>
        <v>2.3258572941880752E-2</v>
      </c>
      <c r="T92" s="83">
        <f>SUMIFS(Dataset!$AA:$AA,Dataset!$F:$F,credito!$D$11,Dataset!$AC:$AC,"BBB-",Dataset!$J:$J,"&lt;"&amp;$D92,Dataset!$J:$J,"&gt;="&amp;$C92)+SUMIFS(Dataset!$AA:$AA,Dataset!$F:$F,credito!$D$11,Dataset!$AC:$AC,"BBB",Dataset!$J:$J,"&lt;"&amp;$D92,Dataset!$J:$J,"&gt;="&amp;$C92)+SUMIFS(Dataset!$AA:$AA,Dataset!$F:$F,credito!$D$11,Dataset!$AC:$AC,"BBB+",Dataset!$J:$J,"&lt;"&amp;$D92,Dataset!$J:$J,"&gt;="&amp;$C92)</f>
        <v>4.1121868706983939E-3</v>
      </c>
      <c r="U92" s="83">
        <f>SUMIFS(Dataset!$AA:$AA,Dataset!$F:$F,credito!$D$11,Dataset!$J:$J,"&lt;"&amp;$D92,Dataset!$J:$J,"&gt;="&amp;$C92,Dataset!$AC:$AC,"&lt;&gt;N-1+",Dataset!$AC:$AC,"&lt;&gt;*AA*",Dataset!$AC:$AC,"&lt;&gt;*AAA*",Dataset!$AC:$AC,"&lt;&gt;A",Dataset!$AC:$AC,"&lt;&gt;A-",Dataset!$AC:$AC,"&lt;&gt;A+",Dataset!$AC:$AC,"&lt;&gt;*BBB*")</f>
        <v>0</v>
      </c>
      <c r="V92" s="84">
        <f t="shared" si="14"/>
        <v>2.6791319737875852E-2</v>
      </c>
      <c r="AB92" s="61">
        <v>315</v>
      </c>
      <c r="AC92" s="100">
        <v>330</v>
      </c>
      <c r="AD92" s="101">
        <f>SUMIFS(Dataset!AJ:AJ,Dataset!F:F,credito!$D$11,Dataset!AH:AH,"deposito",Dataset!T:T,"$",Dataset!J:J,"&lt;"&amp;$AC92/365,Dataset!J:J,"&gt;="&amp;$AB92/365)</f>
        <v>0</v>
      </c>
      <c r="AE92" s="101">
        <f>SUMIFS(Dataset!AJ:AJ,Dataset!F:F,credito!$D$11,Dataset!AH:AH,"deposito",Dataset!T:T,"uf",Dataset!J:J,"&lt;"&amp;$AC92/365,Dataset!J:J,"&gt;="&amp;$AB92/365)</f>
        <v>0</v>
      </c>
      <c r="AF92" s="101">
        <f>SUMIFS(Dataset!AJ:AJ,Dataset!F:F,credito!$D$11,Dataset!AH:AH,"deposito",Dataset!T:T,"us$",Dataset!J:J,"&lt;"&amp;$AC92/365,Dataset!J:J,"&gt;="&amp;$AB92/365)</f>
        <v>0</v>
      </c>
      <c r="AG92" s="101">
        <f>SUMIFS(Dataset!AJ:AJ,Dataset!F:F,credito!$D$11,Dataset!AH:AH,"factura",Dataset!J:J,"&lt;"&amp;$AC92/365,Dataset!J:J,"&gt;="&amp;$AB92/365)</f>
        <v>0</v>
      </c>
      <c r="AH92" s="102">
        <f>SUMIFS(Dataset!AJ:AJ,Dataset!F:F,credito!$D$11,Dataset!AH:AH,"letra hipotecaria",Dataset!J:J,"&lt;"&amp;$AC92/365,Dataset!J:J,"&gt;="&amp;$AB92/365)</f>
        <v>0</v>
      </c>
      <c r="AI92" s="84">
        <f t="shared" si="15"/>
        <v>0</v>
      </c>
    </row>
    <row r="93" spans="2:35" ht="33" customHeight="1" x14ac:dyDescent="0.3">
      <c r="C93" s="61">
        <v>1.5</v>
      </c>
      <c r="D93" s="81">
        <v>2.5</v>
      </c>
      <c r="E93" s="82">
        <f>SUMIFS(Dataset!$AJ:$AJ,Dataset!$F:$F,credito!$D$11,Dataset!$AC:$AC,E$90,Dataset!$J:$J,"&lt;"&amp;$D93,Dataset!$J:$J,"&gt;="&amp;$C93)</f>
        <v>0</v>
      </c>
      <c r="F93" s="83">
        <f>SUMIFS(Dataset!$AJ:$AJ,Dataset!$F:$F,credito!$D$11,Dataset!$AC:$AC,F$90,Dataset!$J:$J,"&lt;"&amp;$D93,Dataset!$J:$J,"&gt;="&amp;$C93)</f>
        <v>1.735011704729025E-2</v>
      </c>
      <c r="G93" s="83">
        <f>SUMIFS(Dataset!$AJ:$AJ,Dataset!$F:$F,credito!$D$11,Dataset!$AC:$AC,G$90,Dataset!$J:$J,"&lt;"&amp;$D93,Dataset!$J:$J,"&gt;="&amp;$C93)</f>
        <v>0</v>
      </c>
      <c r="H93" s="83">
        <f>SUMIFS(Dataset!$AJ:$AJ,Dataset!$F:$F,credito!$D$11,Dataset!$AC:$AC,H$90,Dataset!$J:$J,"&lt;"&amp;$D93,Dataset!$J:$J,"&gt;="&amp;$C93)</f>
        <v>1.2352565755906188E-2</v>
      </c>
      <c r="I93" s="83">
        <f>SUMIFS(Dataset!$AJ:$AJ,Dataset!$F:$F,credito!$D$11,Dataset!$AC:$AC,I$90,Dataset!$J:$J,"&lt;"&amp;$D93,Dataset!$J:$J,"&gt;="&amp;$C93)</f>
        <v>0</v>
      </c>
      <c r="J93" s="83">
        <f>SUMIFS(Dataset!$AJ:$AJ,Dataset!$F:$F,credito!$D$11,Dataset!$AC:$AC,"A",Dataset!$J:$J,"&lt;"&amp;$D93,Dataset!$J:$J,"&gt;="&amp;$C93)+SUMIFS(Dataset!$AJ:$AJ,Dataset!$F:$F,credito!$D$11,Dataset!$AC:$AC,"A-",Dataset!$J:$J,"&lt;"&amp;$D93,Dataset!$J:$J,"&gt;="&amp;$C93)+SUMIFS(Dataset!$AJ:$AJ,Dataset!$F:$F,credito!$D$11,Dataset!$AC:$AC,"A+",Dataset!$J:$J,"&lt;"&amp;$D93,Dataset!$J:$J,"&gt;="&amp;$C93)</f>
        <v>-4.335519345449472E-2</v>
      </c>
      <c r="K93" s="83">
        <f>SUMIFS(Dataset!$AJ:$AJ,Dataset!$F:$F,credito!$D$11,Dataset!$AC:$AC,"BBB-",Dataset!$J:$J,"&lt;"&amp;$D93,Dataset!$J:$J,"&gt;="&amp;$C93)+SUMIFS(Dataset!$AJ:$AJ,Dataset!$F:$F,credito!$D$11,Dataset!$AC:$AC,"BBB",Dataset!$J:$J,"&lt;"&amp;$D93,Dataset!$J:$J,"&gt;="&amp;$C93)+SUMIFS(Dataset!$AJ:$AJ,Dataset!$F:$F,credito!$D$11,Dataset!$AC:$AC,"BBB+",Dataset!$J:$J,"&lt;"&amp;$D93,Dataset!$J:$J,"&gt;="&amp;$C93)</f>
        <v>-3.5942301819237216E-2</v>
      </c>
      <c r="L93" s="83">
        <f>SUMIFS(Dataset!$AJ:$AJ,Dataset!$F:$F,credito!$D$11,Dataset!$J:$J,"&lt;"&amp;$D93,Dataset!$J:$J,"&gt;="&amp;$C93,Dataset!$AC:$AC,"&lt;&gt;N-1+",Dataset!$AC:$AC,"&lt;&gt;*AA*",Dataset!$AC:$AC,"&lt;&gt;*AAA*",Dataset!$AC:$AC,"&lt;&gt;A",Dataset!$AC:$AC,"&lt;&gt;A-",Dataset!$AC:$AC,"&lt;&gt;A+",Dataset!$AC:$AC,"&lt;&gt;*BBB*")</f>
        <v>4.3429032218732285E-3</v>
      </c>
      <c r="M93" s="84">
        <f t="shared" si="13"/>
        <v>-4.5251909248662271E-2</v>
      </c>
      <c r="N93" s="82">
        <f>SUMIFS(Dataset!$AA:$AA,Dataset!$F:$F,credito!$D$11,Dataset!$AC:$AC,N$90,Dataset!$J:$J,"&lt;"&amp;$D93,Dataset!$J:$J,"&gt;="&amp;$C93)</f>
        <v>0</v>
      </c>
      <c r="O93" s="83">
        <f>SUMIFS(Dataset!$AA:$AA,Dataset!$F:$F,credito!$D$11,Dataset!$AC:$AC,O$90,Dataset!$J:$J,"&lt;"&amp;$D93,Dataset!$J:$J,"&gt;="&amp;$C93)</f>
        <v>-3.272922166381352E-3</v>
      </c>
      <c r="P93" s="83">
        <f>SUMIFS(Dataset!$AA:$AA,Dataset!$F:$F,credito!$D$11,Dataset!$AC:$AC,P$90,Dataset!$J:$J,"&lt;"&amp;$D93,Dataset!$J:$J,"&gt;="&amp;$C93)</f>
        <v>0</v>
      </c>
      <c r="Q93" s="83">
        <f>SUMIFS(Dataset!$AA:$AA,Dataset!$F:$F,credito!$D$11,Dataset!$AC:$AC,Q$90,Dataset!$J:$J,"&lt;"&amp;$D93,Dataset!$J:$J,"&gt;="&amp;$C93)</f>
        <v>-4.5046390864152139E-3</v>
      </c>
      <c r="R93" s="83">
        <f>SUMIFS(Dataset!$AA:$AA,Dataset!$F:$F,credito!$D$11,Dataset!$AC:$AC,R$90,Dataset!$J:$J,"&lt;"&amp;$D93,Dataset!$J:$J,"&gt;="&amp;$C93)</f>
        <v>0</v>
      </c>
      <c r="S93" s="83">
        <f>SUMIFS(Dataset!$AA:$AA,Dataset!$F:$F,credito!$D$11,Dataset!$AC:$AC,"A",Dataset!$J:$J,"&lt;"&amp;$D93,Dataset!$J:$J,"&gt;="&amp;$C93)+SUMIFS(Dataset!$AA:$AA,Dataset!$F:$F,credito!$D$11,Dataset!$AC:$AC,"A-",Dataset!$J:$J,"&lt;"&amp;$D93,Dataset!$J:$J,"&gt;="&amp;$C93)+SUMIFS(Dataset!$AA:$AA,Dataset!$F:$F,credito!$D$11,Dataset!$AC:$AC,"A+",Dataset!$J:$J,"&lt;"&amp;$D93,Dataset!$J:$J,"&gt;="&amp;$C93)</f>
        <v>3.2418520101460464E-2</v>
      </c>
      <c r="T93" s="83">
        <f>SUMIFS(Dataset!$AA:$AA,Dataset!$F:$F,credito!$D$11,Dataset!$AC:$AC,"BBB-",Dataset!$J:$J,"&lt;"&amp;$D93,Dataset!$J:$J,"&gt;="&amp;$C93)+SUMIFS(Dataset!$AA:$AA,Dataset!$F:$F,credito!$D$11,Dataset!$AC:$AC,"BBB",Dataset!$J:$J,"&lt;"&amp;$D93,Dataset!$J:$J,"&gt;="&amp;$C93)+SUMIFS(Dataset!$AA:$AA,Dataset!$F:$F,credito!$D$11,Dataset!$AC:$AC,"BBB+",Dataset!$J:$J,"&lt;"&amp;$D93,Dataset!$J:$J,"&gt;="&amp;$C93)</f>
        <v>2.0355728494422645E-2</v>
      </c>
      <c r="U93" s="83">
        <f>SUMIFS(Dataset!$AA:$AA,Dataset!$F:$F,credito!$D$11,Dataset!$J:$J,"&lt;"&amp;$D93,Dataset!$J:$J,"&gt;="&amp;$C93,Dataset!$AC:$AC,"&lt;&gt;N-1+",Dataset!$AC:$AC,"&lt;&gt;*AA*",Dataset!$AC:$AC,"&lt;&gt;*AAA*",Dataset!$AC:$AC,"&lt;&gt;A",Dataset!$AC:$AC,"&lt;&gt;A-",Dataset!$AC:$AC,"&lt;&gt;A+",Dataset!$AC:$AC,"&lt;&gt;*BBB*")</f>
        <v>2.2598743357080512E-2</v>
      </c>
      <c r="V93" s="84">
        <f t="shared" si="14"/>
        <v>6.7595430700167061E-2</v>
      </c>
      <c r="AB93" s="61">
        <v>330</v>
      </c>
      <c r="AC93" s="100">
        <v>345</v>
      </c>
      <c r="AD93" s="101">
        <f>SUMIFS(Dataset!AJ:AJ,Dataset!F:F,credito!$D$11,Dataset!AH:AH,"deposito",Dataset!T:T,"$",Dataset!J:J,"&lt;"&amp;$AC93/365,Dataset!J:J,"&gt;="&amp;$AB93/365)</f>
        <v>0</v>
      </c>
      <c r="AE93" s="101">
        <f>SUMIFS(Dataset!AJ:AJ,Dataset!F:F,credito!$D$11,Dataset!AH:AH,"deposito",Dataset!T:T,"uf",Dataset!J:J,"&lt;"&amp;$AC93/365,Dataset!J:J,"&gt;="&amp;$AB93/365)</f>
        <v>0</v>
      </c>
      <c r="AF93" s="101">
        <f>SUMIFS(Dataset!AJ:AJ,Dataset!F:F,credito!$D$11,Dataset!AH:AH,"deposito",Dataset!T:T,"us$",Dataset!J:J,"&lt;"&amp;$AC93/365,Dataset!J:J,"&gt;="&amp;$AB93/365)</f>
        <v>0</v>
      </c>
      <c r="AG93" s="101">
        <f>SUMIFS(Dataset!AJ:AJ,Dataset!F:F,credito!$D$11,Dataset!AH:AH,"factura",Dataset!J:J,"&lt;"&amp;$AC93/365,Dataset!J:J,"&gt;="&amp;$AB93/365)</f>
        <v>0</v>
      </c>
      <c r="AH93" s="102">
        <f>SUMIFS(Dataset!AJ:AJ,Dataset!F:F,credito!$D$11,Dataset!AH:AH,"letra hipotecaria",Dataset!J:J,"&lt;"&amp;$AC93/365,Dataset!J:J,"&gt;="&amp;$AB93/365)</f>
        <v>0</v>
      </c>
      <c r="AI93" s="84">
        <f t="shared" si="15"/>
        <v>0</v>
      </c>
    </row>
    <row r="94" spans="2:35" ht="27" customHeight="1" x14ac:dyDescent="0.3">
      <c r="C94" s="61">
        <v>2.5</v>
      </c>
      <c r="D94" s="81">
        <v>3.5</v>
      </c>
      <c r="E94" s="82">
        <f>SUMIFS(Dataset!$AJ:$AJ,Dataset!$F:$F,credito!$D$11,Dataset!$AC:$AC,E$90,Dataset!$J:$J,"&lt;"&amp;$D94,Dataset!$J:$J,"&gt;="&amp;$C94)</f>
        <v>0</v>
      </c>
      <c r="F94" s="83">
        <f>SUMIFS(Dataset!$AJ:$AJ,Dataset!$F:$F,credito!$D$11,Dataset!$AC:$AC,F$90,Dataset!$J:$J,"&lt;"&amp;$D94,Dataset!$J:$J,"&gt;="&amp;$C94)</f>
        <v>1.7745935478991646E-2</v>
      </c>
      <c r="G94" s="83">
        <f>SUMIFS(Dataset!$AJ:$AJ,Dataset!$F:$F,credito!$D$11,Dataset!$AC:$AC,G$90,Dataset!$J:$J,"&lt;"&amp;$D94,Dataset!$J:$J,"&gt;="&amp;$C94)</f>
        <v>0</v>
      </c>
      <c r="H94" s="83">
        <f>SUMIFS(Dataset!$AJ:$AJ,Dataset!$F:$F,credito!$D$11,Dataset!$AC:$AC,H$90,Dataset!$J:$J,"&lt;"&amp;$D94,Dataset!$J:$J,"&gt;="&amp;$C94)</f>
        <v>1.4123413719128839E-2</v>
      </c>
      <c r="I94" s="83">
        <f>SUMIFS(Dataset!$AJ:$AJ,Dataset!$F:$F,credito!$D$11,Dataset!$AC:$AC,I$90,Dataset!$J:$J,"&lt;"&amp;$D94,Dataset!$J:$J,"&gt;="&amp;$C94)</f>
        <v>2.7571194249835361E-2</v>
      </c>
      <c r="J94" s="83">
        <f>SUMIFS(Dataset!$AJ:$AJ,Dataset!$F:$F,credito!$D$11,Dataset!$AC:$AC,"A",Dataset!$J:$J,"&lt;"&amp;$D94,Dataset!$J:$J,"&gt;="&amp;$C94)+SUMIFS(Dataset!$AJ:$AJ,Dataset!$F:$F,credito!$D$11,Dataset!$AC:$AC,"A-",Dataset!$J:$J,"&lt;"&amp;$D94,Dataset!$J:$J,"&gt;="&amp;$C94)+SUMIFS(Dataset!$AJ:$AJ,Dataset!$F:$F,credito!$D$11,Dataset!$AC:$AC,"A+",Dataset!$J:$J,"&lt;"&amp;$D94,Dataset!$J:$J,"&gt;="&amp;$C94)</f>
        <v>-2.8109969948428109E-2</v>
      </c>
      <c r="K94" s="83">
        <f>SUMIFS(Dataset!$AJ:$AJ,Dataset!$F:$F,credito!$D$11,Dataset!$AC:$AC,"BBB-",Dataset!$J:$J,"&lt;"&amp;$D94,Dataset!$J:$J,"&gt;="&amp;$C94)+SUMIFS(Dataset!$AJ:$AJ,Dataset!$F:$F,credito!$D$11,Dataset!$AC:$AC,"BBB",Dataset!$J:$J,"&lt;"&amp;$D94,Dataset!$J:$J,"&gt;="&amp;$C94)+SUMIFS(Dataset!$AJ:$AJ,Dataset!$F:$F,credito!$D$11,Dataset!$AC:$AC,"BBB+",Dataset!$J:$J,"&lt;"&amp;$D94,Dataset!$J:$J,"&gt;="&amp;$C94)</f>
        <v>-4.4798858313787271E-2</v>
      </c>
      <c r="L94" s="83">
        <f>SUMIFS(Dataset!$AJ:$AJ,Dataset!$F:$F,credito!$D$11,Dataset!$J:$J,"&lt;"&amp;$D94,Dataset!$J:$J,"&gt;="&amp;$C94,Dataset!$AC:$AC,"&lt;&gt;N-1+",Dataset!$AC:$AC,"&lt;&gt;*AA*",Dataset!$AC:$AC,"&lt;&gt;*AAA*",Dataset!$AC:$AC,"&lt;&gt;A",Dataset!$AC:$AC,"&lt;&gt;A-",Dataset!$AC:$AC,"&lt;&gt;A+",Dataset!$AC:$AC,"&lt;&gt;*BBB*")</f>
        <v>1.1043031636843158E-2</v>
      </c>
      <c r="M94" s="84">
        <f t="shared" si="13"/>
        <v>-2.4252531774163737E-3</v>
      </c>
      <c r="N94" s="82">
        <f>SUMIFS(Dataset!$AA:$AA,Dataset!$F:$F,credito!$D$11,Dataset!$AC:$AC,N$90,Dataset!$J:$J,"&lt;"&amp;$D94,Dataset!$J:$J,"&gt;="&amp;$C94)</f>
        <v>0</v>
      </c>
      <c r="O94" s="83">
        <f>SUMIFS(Dataset!$AA:$AA,Dataset!$F:$F,credito!$D$11,Dataset!$AC:$AC,O$90,Dataset!$J:$J,"&lt;"&amp;$D94,Dataset!$J:$J,"&gt;="&amp;$C94)</f>
        <v>-2.168900661448657E-2</v>
      </c>
      <c r="P94" s="83">
        <f>SUMIFS(Dataset!$AA:$AA,Dataset!$F:$F,credito!$D$11,Dataset!$AC:$AC,P$90,Dataset!$J:$J,"&lt;"&amp;$D94,Dataset!$J:$J,"&gt;="&amp;$C94)</f>
        <v>0</v>
      </c>
      <c r="Q94" s="83">
        <f>SUMIFS(Dataset!$AA:$AA,Dataset!$F:$F,credito!$D$11,Dataset!$AC:$AC,Q$90,Dataset!$J:$J,"&lt;"&amp;$D94,Dataset!$J:$J,"&gt;="&amp;$C94)</f>
        <v>3.1404923826815205E-3</v>
      </c>
      <c r="R94" s="83">
        <f>SUMIFS(Dataset!$AA:$AA,Dataset!$F:$F,credito!$D$11,Dataset!$AC:$AC,R$90,Dataset!$J:$J,"&lt;"&amp;$D94,Dataset!$J:$J,"&gt;="&amp;$C94)</f>
        <v>-1.4465013782655662E-3</v>
      </c>
      <c r="S94" s="83">
        <f>SUMIFS(Dataset!$AA:$AA,Dataset!$F:$F,credito!$D$11,Dataset!$AC:$AC,"A",Dataset!$J:$J,"&lt;"&amp;$D94,Dataset!$J:$J,"&gt;="&amp;$C94)+SUMIFS(Dataset!$AA:$AA,Dataset!$F:$F,credito!$D$11,Dataset!$AC:$AC,"A-",Dataset!$J:$J,"&lt;"&amp;$D94,Dataset!$J:$J,"&gt;="&amp;$C94)+SUMIFS(Dataset!$AA:$AA,Dataset!$F:$F,credito!$D$11,Dataset!$AC:$AC,"A+",Dataset!$J:$J,"&lt;"&amp;$D94,Dataset!$J:$J,"&gt;="&amp;$C94)</f>
        <v>5.1377306393028531E-2</v>
      </c>
      <c r="T94" s="83">
        <f>SUMIFS(Dataset!$AA:$AA,Dataset!$F:$F,credito!$D$11,Dataset!$AC:$AC,"BBB-",Dataset!$J:$J,"&lt;"&amp;$D94,Dataset!$J:$J,"&gt;="&amp;$C94)+SUMIFS(Dataset!$AA:$AA,Dataset!$F:$F,credito!$D$11,Dataset!$AC:$AC,"BBB",Dataset!$J:$J,"&lt;"&amp;$D94,Dataset!$J:$J,"&gt;="&amp;$C94)+SUMIFS(Dataset!$AA:$AA,Dataset!$F:$F,credito!$D$11,Dataset!$AC:$AC,"BBB+",Dataset!$J:$J,"&lt;"&amp;$D94,Dataset!$J:$J,"&gt;="&amp;$C94)</f>
        <v>0.1305963270060379</v>
      </c>
      <c r="U94" s="83">
        <f>SUMIFS(Dataset!$AA:$AA,Dataset!$F:$F,credito!$D$11,Dataset!$J:$J,"&lt;"&amp;$D94,Dataset!$J:$J,"&gt;="&amp;$C94,Dataset!$AC:$AC,"&lt;&gt;N-1+",Dataset!$AC:$AC,"&lt;&gt;*AA*",Dataset!$AC:$AC,"&lt;&gt;*AAA*",Dataset!$AC:$AC,"&lt;&gt;A",Dataset!$AC:$AC,"&lt;&gt;A-",Dataset!$AC:$AC,"&lt;&gt;A+",Dataset!$AC:$AC,"&lt;&gt;*BBB*")</f>
        <v>-1.8198553723322398E-2</v>
      </c>
      <c r="V94" s="84">
        <f t="shared" si="14"/>
        <v>0.1437800640656734</v>
      </c>
      <c r="AB94" s="61">
        <v>345</v>
      </c>
      <c r="AC94" s="100">
        <v>360</v>
      </c>
      <c r="AD94" s="101">
        <f>SUMIFS(Dataset!AJ:AJ,Dataset!F:F,credito!$D$11,Dataset!AH:AH,"deposito",Dataset!T:T,"$",Dataset!J:J,"&lt;"&amp;$AC94/365,Dataset!J:J,"&gt;="&amp;$AB94/365)</f>
        <v>0</v>
      </c>
      <c r="AE94" s="101">
        <f>SUMIFS(Dataset!AJ:AJ,Dataset!F:F,credito!$D$11,Dataset!AH:AH,"deposito",Dataset!T:T,"uf",Dataset!J:J,"&lt;"&amp;$AC94/365,Dataset!J:J,"&gt;="&amp;$AB94/365)</f>
        <v>0</v>
      </c>
      <c r="AF94" s="101">
        <f>SUMIFS(Dataset!AJ:AJ,Dataset!F:F,credito!$D$11,Dataset!AH:AH,"deposito",Dataset!T:T,"us$",Dataset!J:J,"&lt;"&amp;$AC94/365,Dataset!J:J,"&gt;="&amp;$AB94/365)</f>
        <v>0</v>
      </c>
      <c r="AG94" s="101">
        <f>SUMIFS(Dataset!AJ:AJ,Dataset!F:F,credito!$D$11,Dataset!AH:AH,"factura",Dataset!J:J,"&lt;"&amp;$AC94/365,Dataset!J:J,"&gt;="&amp;$AB94/365)</f>
        <v>0</v>
      </c>
      <c r="AH94" s="102">
        <f>SUMIFS(Dataset!AJ:AJ,Dataset!F:F,credito!$D$11,Dataset!AH:AH,"letra hipotecaria",Dataset!J:J,"&lt;"&amp;$AC94/365,Dataset!J:J,"&gt;="&amp;$AB94/365)</f>
        <v>0</v>
      </c>
      <c r="AI94" s="84">
        <f t="shared" si="15"/>
        <v>0</v>
      </c>
    </row>
    <row r="95" spans="2:35" ht="27" customHeight="1" x14ac:dyDescent="0.3">
      <c r="C95" s="61">
        <v>3.5</v>
      </c>
      <c r="D95" s="81">
        <v>4.5</v>
      </c>
      <c r="E95" s="82">
        <f>SUMIFS(Dataset!$AJ:$AJ,Dataset!$F:$F,credito!$D$11,Dataset!$AC:$AC,E$90,Dataset!$J:$J,"&lt;"&amp;$D95,Dataset!$J:$J,"&gt;="&amp;$C95)</f>
        <v>0</v>
      </c>
      <c r="F95" s="83">
        <f>SUMIFS(Dataset!$AJ:$AJ,Dataset!$F:$F,credito!$D$11,Dataset!$AC:$AC,F$90,Dataset!$J:$J,"&lt;"&amp;$D95,Dataset!$J:$J,"&gt;="&amp;$C95)</f>
        <v>3.7550714261325906E-3</v>
      </c>
      <c r="G95" s="83">
        <f>SUMIFS(Dataset!$AJ:$AJ,Dataset!$F:$F,credito!$D$11,Dataset!$AC:$AC,G$90,Dataset!$J:$J,"&lt;"&amp;$D95,Dataset!$J:$J,"&gt;="&amp;$C95)</f>
        <v>7.3572053201813106E-3</v>
      </c>
      <c r="H95" s="83">
        <f>SUMIFS(Dataset!$AJ:$AJ,Dataset!$F:$F,credito!$D$11,Dataset!$AC:$AC,H$90,Dataset!$J:$J,"&lt;"&amp;$D95,Dataset!$J:$J,"&gt;="&amp;$C95)</f>
        <v>0</v>
      </c>
      <c r="I95" s="83">
        <f>SUMIFS(Dataset!$AJ:$AJ,Dataset!$F:$F,credito!$D$11,Dataset!$AC:$AC,I$90,Dataset!$J:$J,"&lt;"&amp;$D95,Dataset!$J:$J,"&gt;="&amp;$C95)</f>
        <v>3.7682743753126121E-4</v>
      </c>
      <c r="J95" s="83">
        <f>SUMIFS(Dataset!$AJ:$AJ,Dataset!$F:$F,credito!$D$11,Dataset!$AC:$AC,"A",Dataset!$J:$J,"&lt;"&amp;$D95,Dataset!$J:$J,"&gt;="&amp;$C95)+SUMIFS(Dataset!$AJ:$AJ,Dataset!$F:$F,credito!$D$11,Dataset!$AC:$AC,"A-",Dataset!$J:$J,"&lt;"&amp;$D95,Dataset!$J:$J,"&gt;="&amp;$C95)+SUMIFS(Dataset!$AJ:$AJ,Dataset!$F:$F,credito!$D$11,Dataset!$AC:$AC,"A+",Dataset!$J:$J,"&lt;"&amp;$D95,Dataset!$J:$J,"&gt;="&amp;$C95)</f>
        <v>-6.2319428693516143E-2</v>
      </c>
      <c r="K95" s="83">
        <f>SUMIFS(Dataset!$AJ:$AJ,Dataset!$F:$F,credito!$D$11,Dataset!$AC:$AC,"BBB-",Dataset!$J:$J,"&lt;"&amp;$D95,Dataset!$J:$J,"&gt;="&amp;$C95)+SUMIFS(Dataset!$AJ:$AJ,Dataset!$F:$F,credito!$D$11,Dataset!$AC:$AC,"BBB",Dataset!$J:$J,"&lt;"&amp;$D95,Dataset!$J:$J,"&gt;="&amp;$C95)+SUMIFS(Dataset!$AJ:$AJ,Dataset!$F:$F,credito!$D$11,Dataset!$AC:$AC,"BBB+",Dataset!$J:$J,"&lt;"&amp;$D95,Dataset!$J:$J,"&gt;="&amp;$C95)</f>
        <v>-1.1176786397574136E-2</v>
      </c>
      <c r="L95" s="83">
        <f>SUMIFS(Dataset!$AJ:$AJ,Dataset!$F:$F,credito!$D$11,Dataset!$J:$J,"&lt;"&amp;$D95,Dataset!$J:$J,"&gt;="&amp;$C95,Dataset!$AC:$AC,"&lt;&gt;N-1+",Dataset!$AC:$AC,"&lt;&gt;*AA*",Dataset!$AC:$AC,"&lt;&gt;*AAA*",Dataset!$AC:$AC,"&lt;&gt;A",Dataset!$AC:$AC,"&lt;&gt;A-",Dataset!$AC:$AC,"&lt;&gt;A+",Dataset!$AC:$AC,"&lt;&gt;*BBB*")</f>
        <v>0</v>
      </c>
      <c r="M95" s="84">
        <f t="shared" si="13"/>
        <v>-6.2007110907245117E-2</v>
      </c>
      <c r="N95" s="82">
        <f>SUMIFS(Dataset!$AA:$AA,Dataset!$F:$F,credito!$D$11,Dataset!$AC:$AC,N$90,Dataset!$J:$J,"&lt;"&amp;$D95,Dataset!$J:$J,"&gt;="&amp;$C95)</f>
        <v>0</v>
      </c>
      <c r="O95" s="83">
        <f>SUMIFS(Dataset!$AA:$AA,Dataset!$F:$F,credito!$D$11,Dataset!$AC:$AC,O$90,Dataset!$J:$J,"&lt;"&amp;$D95,Dataset!$J:$J,"&gt;="&amp;$C95)</f>
        <v>-2.3386795967272069E-3</v>
      </c>
      <c r="P95" s="83">
        <f>SUMIFS(Dataset!$AA:$AA,Dataset!$F:$F,credito!$D$11,Dataset!$AC:$AC,P$90,Dataset!$J:$J,"&lt;"&amp;$D95,Dataset!$J:$J,"&gt;="&amp;$C95)</f>
        <v>-2.737192073276573E-3</v>
      </c>
      <c r="Q95" s="83">
        <f>SUMIFS(Dataset!$AA:$AA,Dataset!$F:$F,credito!$D$11,Dataset!$AC:$AC,Q$90,Dataset!$J:$J,"&lt;"&amp;$D95,Dataset!$J:$J,"&gt;="&amp;$C95)</f>
        <v>0</v>
      </c>
      <c r="R95" s="83">
        <f>SUMIFS(Dataset!$AA:$AA,Dataset!$F:$F,credito!$D$11,Dataset!$AC:$AC,R$90,Dataset!$J:$J,"&lt;"&amp;$D95,Dataset!$J:$J,"&gt;="&amp;$C95)</f>
        <v>-1.4019577137182196E-4</v>
      </c>
      <c r="S95" s="83">
        <f>SUMIFS(Dataset!$AA:$AA,Dataset!$F:$F,credito!$D$11,Dataset!$AC:$AC,"A",Dataset!$J:$J,"&lt;"&amp;$D95,Dataset!$J:$J,"&gt;="&amp;$C95)+SUMIFS(Dataset!$AA:$AA,Dataset!$F:$F,credito!$D$11,Dataset!$AC:$AC,"A-",Dataset!$J:$J,"&lt;"&amp;$D95,Dataset!$J:$J,"&gt;="&amp;$C95)+SUMIFS(Dataset!$AA:$AA,Dataset!$F:$F,credito!$D$11,Dataset!$AC:$AC,"A+",Dataset!$J:$J,"&lt;"&amp;$D95,Dataset!$J:$J,"&gt;="&amp;$C95)</f>
        <v>0.11627935782617867</v>
      </c>
      <c r="T95" s="83">
        <f>SUMIFS(Dataset!$AA:$AA,Dataset!$F:$F,credito!$D$11,Dataset!$AC:$AC,"BBB-",Dataset!$J:$J,"&lt;"&amp;$D95,Dataset!$J:$J,"&gt;="&amp;$C95)+SUMIFS(Dataset!$AA:$AA,Dataset!$F:$F,credito!$D$11,Dataset!$AC:$AC,"BBB",Dataset!$J:$J,"&lt;"&amp;$D95,Dataset!$J:$J,"&gt;="&amp;$C95)+SUMIFS(Dataset!$AA:$AA,Dataset!$F:$F,credito!$D$11,Dataset!$AC:$AC,"BBB+",Dataset!$J:$J,"&lt;"&amp;$D95,Dataset!$J:$J,"&gt;="&amp;$C95)</f>
        <v>1.0993471618075321E-2</v>
      </c>
      <c r="U95" s="83">
        <f>SUMIFS(Dataset!$AA:$AA,Dataset!$F:$F,credito!$D$11,Dataset!$J:$J,"&lt;"&amp;$D95,Dataset!$J:$J,"&gt;="&amp;$C95,Dataset!$AC:$AC,"&lt;&gt;N-1+",Dataset!$AC:$AC,"&lt;&gt;*AA*",Dataset!$AC:$AC,"&lt;&gt;*AAA*",Dataset!$AC:$AC,"&lt;&gt;A",Dataset!$AC:$AC,"&lt;&gt;A-",Dataset!$AC:$AC,"&lt;&gt;A+",Dataset!$AC:$AC,"&lt;&gt;*BBB*")</f>
        <v>0</v>
      </c>
      <c r="V95" s="84">
        <f t="shared" si="14"/>
        <v>0.12205676200287838</v>
      </c>
      <c r="AB95" s="61">
        <v>360</v>
      </c>
      <c r="AC95" s="100">
        <v>720</v>
      </c>
      <c r="AD95" s="101">
        <f>SUMIFS(Dataset!AJ:AJ,Dataset!F:F,credito!$D$11,Dataset!AH:AH,"deposito",Dataset!T:T,"$",Dataset!J:J,"&lt;"&amp;$AC95/365,Dataset!J:J,"&gt;="&amp;$AB95/365)</f>
        <v>0</v>
      </c>
      <c r="AE95" s="101">
        <f>SUMIFS(Dataset!AJ:AJ,Dataset!F:F,credito!$D$11,Dataset!AH:AH,"deposito",Dataset!T:T,"uf",Dataset!J:J,"&lt;"&amp;$AC95/365,Dataset!J:J,"&gt;="&amp;$AB95/365)</f>
        <v>0</v>
      </c>
      <c r="AF95" s="101">
        <f>SUMIFS(Dataset!AJ:AJ,Dataset!F:F,credito!$D$11,Dataset!AH:AH,"deposito",Dataset!T:T,"us$",Dataset!J:J,"&lt;"&amp;$AC95/365,Dataset!J:J,"&gt;="&amp;$AB95/365)</f>
        <v>0</v>
      </c>
      <c r="AG95" s="101">
        <f>SUMIFS(Dataset!AJ:AJ,Dataset!F:F,credito!$D$11,Dataset!AH:AH,"factura",Dataset!J:J,"&lt;"&amp;$AC95/365,Dataset!J:J,"&gt;="&amp;$AB95/365)</f>
        <v>0</v>
      </c>
      <c r="AH95" s="102">
        <f>SUMIFS(Dataset!AJ:AJ,Dataset!F:F,credito!$D$11,Dataset!AH:AH,"letra hipotecaria",Dataset!J:J,"&lt;"&amp;$AC95/365,Dataset!J:J,"&gt;="&amp;$AB95/365)</f>
        <v>0</v>
      </c>
      <c r="AI95" s="84">
        <f t="shared" si="15"/>
        <v>0</v>
      </c>
    </row>
    <row r="96" spans="2:35" ht="36" customHeight="1" x14ac:dyDescent="0.4">
      <c r="B96" s="95"/>
      <c r="C96" s="61">
        <v>4.5</v>
      </c>
      <c r="D96" s="81">
        <v>5.5</v>
      </c>
      <c r="E96" s="82">
        <f>SUMIFS(Dataset!$AJ:$AJ,Dataset!$F:$F,credito!$D$11,Dataset!$AC:$AC,E$90,Dataset!$J:$J,"&lt;"&amp;$D96,Dataset!$J:$J,"&gt;="&amp;$C96)</f>
        <v>0</v>
      </c>
      <c r="F96" s="83">
        <f>SUMIFS(Dataset!$AJ:$AJ,Dataset!$F:$F,credito!$D$11,Dataset!$AC:$AC,F$90,Dataset!$J:$J,"&lt;"&amp;$D96,Dataset!$J:$J,"&gt;="&amp;$C96)</f>
        <v>0</v>
      </c>
      <c r="G96" s="83">
        <f>SUMIFS(Dataset!$AJ:$AJ,Dataset!$F:$F,credito!$D$11,Dataset!$AC:$AC,G$90,Dataset!$J:$J,"&lt;"&amp;$D96,Dataset!$J:$J,"&gt;="&amp;$C96)</f>
        <v>0</v>
      </c>
      <c r="H96" s="83">
        <f>SUMIFS(Dataset!$AJ:$AJ,Dataset!$F:$F,credito!$D$11,Dataset!$AC:$AC,H$90,Dataset!$J:$J,"&lt;"&amp;$D96,Dataset!$J:$J,"&gt;="&amp;$C96)</f>
        <v>0</v>
      </c>
      <c r="I96" s="83">
        <f>SUMIFS(Dataset!$AJ:$AJ,Dataset!$F:$F,credito!$D$11,Dataset!$AC:$AC,I$90,Dataset!$J:$J,"&lt;"&amp;$D96,Dataset!$J:$J,"&gt;="&amp;$C96)</f>
        <v>1.6408911099830004E-2</v>
      </c>
      <c r="J96" s="83">
        <f>SUMIFS(Dataset!$AJ:$AJ,Dataset!$F:$F,credito!$D$11,Dataset!$AC:$AC,"A",Dataset!$J:$J,"&lt;"&amp;$D96,Dataset!$J:$J,"&gt;="&amp;$C96)+SUMIFS(Dataset!$AJ:$AJ,Dataset!$F:$F,credito!$D$11,Dataset!$AC:$AC,"A-",Dataset!$J:$J,"&lt;"&amp;$D96,Dataset!$J:$J,"&gt;="&amp;$C96)+SUMIFS(Dataset!$AJ:$AJ,Dataset!$F:$F,credito!$D$11,Dataset!$AC:$AC,"A+",Dataset!$J:$J,"&lt;"&amp;$D96,Dataset!$J:$J,"&gt;="&amp;$C96)</f>
        <v>-5.5303391282742496E-2</v>
      </c>
      <c r="K96" s="83">
        <f>SUMIFS(Dataset!$AJ:$AJ,Dataset!$F:$F,credito!$D$11,Dataset!$AC:$AC,"BBB-",Dataset!$J:$J,"&lt;"&amp;$D96,Dataset!$J:$J,"&gt;="&amp;$C96)+SUMIFS(Dataset!$AJ:$AJ,Dataset!$F:$F,credito!$D$11,Dataset!$AC:$AC,"BBB",Dataset!$J:$J,"&lt;"&amp;$D96,Dataset!$J:$J,"&gt;="&amp;$C96)+SUMIFS(Dataset!$AJ:$AJ,Dataset!$F:$F,credito!$D$11,Dataset!$AC:$AC,"BBB+",Dataset!$J:$J,"&lt;"&amp;$D96,Dataset!$J:$J,"&gt;="&amp;$C96)</f>
        <v>-1.5842173088159089E-2</v>
      </c>
      <c r="L96" s="83">
        <f>SUMIFS(Dataset!$AJ:$AJ,Dataset!$F:$F,credito!$D$11,Dataset!$J:$J,"&lt;"&amp;$D96,Dataset!$J:$J,"&gt;="&amp;$C96,Dataset!$AC:$AC,"&lt;&gt;N-1+",Dataset!$AC:$AC,"&lt;&gt;*AA*",Dataset!$AC:$AC,"&lt;&gt;*AAA*",Dataset!$AC:$AC,"&lt;&gt;A",Dataset!$AC:$AC,"&lt;&gt;A-",Dataset!$AC:$AC,"&lt;&gt;A+",Dataset!$AC:$AC,"&lt;&gt;*BBB*")</f>
        <v>1.5543357186923073E-2</v>
      </c>
      <c r="M96" s="84">
        <f t="shared" si="13"/>
        <v>-3.9193296084148503E-2</v>
      </c>
      <c r="N96" s="82">
        <f>SUMIFS(Dataset!$AA:$AA,Dataset!$F:$F,credito!$D$11,Dataset!$AC:$AC,N$90,Dataset!$J:$J,"&lt;"&amp;$D96,Dataset!$J:$J,"&gt;="&amp;$C96)</f>
        <v>0</v>
      </c>
      <c r="O96" s="83">
        <f>SUMIFS(Dataset!$AA:$AA,Dataset!$F:$F,credito!$D$11,Dataset!$AC:$AC,O$90,Dataset!$J:$J,"&lt;"&amp;$D96,Dataset!$J:$J,"&gt;="&amp;$C96)</f>
        <v>0</v>
      </c>
      <c r="P96" s="83">
        <f>SUMIFS(Dataset!$AA:$AA,Dataset!$F:$F,credito!$D$11,Dataset!$AC:$AC,P$90,Dataset!$J:$J,"&lt;"&amp;$D96,Dataset!$J:$J,"&gt;="&amp;$C96)</f>
        <v>0</v>
      </c>
      <c r="Q96" s="83">
        <f>SUMIFS(Dataset!$AA:$AA,Dataset!$F:$F,credito!$D$11,Dataset!$AC:$AC,Q$90,Dataset!$J:$J,"&lt;"&amp;$D96,Dataset!$J:$J,"&gt;="&amp;$C96)</f>
        <v>0</v>
      </c>
      <c r="R96" s="83">
        <f>SUMIFS(Dataset!$AA:$AA,Dataset!$F:$F,credito!$D$11,Dataset!$AC:$AC,R$90,Dataset!$J:$J,"&lt;"&amp;$D96,Dataset!$J:$J,"&gt;="&amp;$C96)</f>
        <v>-2.929103873266105E-3</v>
      </c>
      <c r="S96" s="83">
        <f>SUMIFS(Dataset!$AA:$AA,Dataset!$F:$F,credito!$D$11,Dataset!$AC:$AC,"A",Dataset!$J:$J,"&lt;"&amp;$D96,Dataset!$J:$J,"&gt;="&amp;$C96)+SUMIFS(Dataset!$AA:$AA,Dataset!$F:$F,credito!$D$11,Dataset!$AC:$AC,"A-",Dataset!$J:$J,"&lt;"&amp;$D96,Dataset!$J:$J,"&gt;="&amp;$C96)+SUMIFS(Dataset!$AA:$AA,Dataset!$F:$F,credito!$D$11,Dataset!$AC:$AC,"A+",Dataset!$J:$J,"&lt;"&amp;$D96,Dataset!$J:$J,"&gt;="&amp;$C96)</f>
        <v>0.11350263693856863</v>
      </c>
      <c r="T96" s="83">
        <f>SUMIFS(Dataset!$AA:$AA,Dataset!$F:$F,credito!$D$11,Dataset!$AC:$AC,"BBB-",Dataset!$J:$J,"&lt;"&amp;$D96,Dataset!$J:$J,"&gt;="&amp;$C96)+SUMIFS(Dataset!$AA:$AA,Dataset!$F:$F,credito!$D$11,Dataset!$AC:$AC,"BBB",Dataset!$J:$J,"&lt;"&amp;$D96,Dataset!$J:$J,"&gt;="&amp;$C96)+SUMIFS(Dataset!$AA:$AA,Dataset!$F:$F,credito!$D$11,Dataset!$AC:$AC,"BBB+",Dataset!$J:$J,"&lt;"&amp;$D96,Dataset!$J:$J,"&gt;="&amp;$C96)</f>
        <v>3.5207333746578078E-2</v>
      </c>
      <c r="U96" s="83">
        <f>SUMIFS(Dataset!$AA:$AA,Dataset!$F:$F,credito!$D$11,Dataset!$J:$J,"&lt;"&amp;$D96,Dataset!$J:$J,"&gt;="&amp;$C96,Dataset!$AC:$AC,"&lt;&gt;N-1+",Dataset!$AC:$AC,"&lt;&gt;*AA*",Dataset!$AC:$AC,"&lt;&gt;*AAA*",Dataset!$AC:$AC,"&lt;&gt;A",Dataset!$AC:$AC,"&lt;&gt;A-",Dataset!$AC:$AC,"&lt;&gt;A+",Dataset!$AC:$AC,"&lt;&gt;*BBB*")</f>
        <v>0.17188609348528214</v>
      </c>
      <c r="V96" s="84">
        <f t="shared" si="14"/>
        <v>0.31766696029716274</v>
      </c>
      <c r="AB96" s="61">
        <v>720</v>
      </c>
      <c r="AC96" s="100">
        <v>1080</v>
      </c>
      <c r="AD96" s="101">
        <f>SUMIFS(Dataset!AJ:AJ,Dataset!F:F,credito!$D$11,Dataset!AH:AH,"deposito",Dataset!T:T,"$",Dataset!J:J,"&lt;"&amp;$AC96/365,Dataset!J:J,"&gt;="&amp;$AB96/365)</f>
        <v>0</v>
      </c>
      <c r="AE96" s="101">
        <f>SUMIFS(Dataset!AJ:AJ,Dataset!F:F,credito!$D$11,Dataset!AH:AH,"deposito",Dataset!T:T,"uf",Dataset!J:J,"&lt;"&amp;$AC96/365,Dataset!J:J,"&gt;="&amp;$AB96/365)</f>
        <v>0</v>
      </c>
      <c r="AF96" s="101">
        <f>SUMIFS(Dataset!AJ:AJ,Dataset!F:F,credito!$D$11,Dataset!AH:AH,"deposito",Dataset!T:T,"us$",Dataset!J:J,"&lt;"&amp;$AC96/365,Dataset!J:J,"&gt;="&amp;$AB96/365)</f>
        <v>0</v>
      </c>
      <c r="AG96" s="101">
        <f>SUMIFS(Dataset!AJ:AJ,Dataset!F:F,credito!$D$11,Dataset!AH:AH,"factura",Dataset!J:J,"&lt;"&amp;$AC96/365,Dataset!J:J,"&gt;="&amp;$AB96/365)</f>
        <v>0</v>
      </c>
      <c r="AH96" s="102">
        <f>SUMIFS(Dataset!AJ:AJ,Dataset!F:F,credito!$D$11,Dataset!AH:AH,"letra hipotecaria",Dataset!J:J,"&lt;"&amp;$AC96/365,Dataset!J:J,"&gt;="&amp;$AB96/365)</f>
        <v>0</v>
      </c>
      <c r="AI96" s="84">
        <f t="shared" si="15"/>
        <v>0</v>
      </c>
    </row>
    <row r="97" spans="2:35" ht="36" customHeight="1" x14ac:dyDescent="0.3">
      <c r="B97" s="96"/>
      <c r="C97" s="61">
        <v>5.5</v>
      </c>
      <c r="D97" s="81">
        <v>6.5</v>
      </c>
      <c r="E97" s="82">
        <f>SUMIFS(Dataset!$AJ:$AJ,Dataset!$F:$F,credito!$D$11,Dataset!$AC:$AC,E$90,Dataset!$J:$J,"&lt;"&amp;$D97,Dataset!$J:$J,"&gt;="&amp;$C97)</f>
        <v>0</v>
      </c>
      <c r="F97" s="83">
        <f>SUMIFS(Dataset!$AJ:$AJ,Dataset!$F:$F,credito!$D$11,Dataset!$AC:$AC,F$90,Dataset!$J:$J,"&lt;"&amp;$D97,Dataset!$J:$J,"&gt;="&amp;$C97)</f>
        <v>0</v>
      </c>
      <c r="G97" s="83">
        <f>SUMIFS(Dataset!$AJ:$AJ,Dataset!$F:$F,credito!$D$11,Dataset!$AC:$AC,G$90,Dataset!$J:$J,"&lt;"&amp;$D97,Dataset!$J:$J,"&gt;="&amp;$C97)</f>
        <v>0</v>
      </c>
      <c r="H97" s="83">
        <f>SUMIFS(Dataset!$AJ:$AJ,Dataset!$F:$F,credito!$D$11,Dataset!$AC:$AC,H$90,Dataset!$J:$J,"&lt;"&amp;$D97,Dataset!$J:$J,"&gt;="&amp;$C97)</f>
        <v>0</v>
      </c>
      <c r="I97" s="83">
        <f>SUMIFS(Dataset!$AJ:$AJ,Dataset!$F:$F,credito!$D$11,Dataset!$AC:$AC,I$90,Dataset!$J:$J,"&lt;"&amp;$D97,Dataset!$J:$J,"&gt;="&amp;$C97)</f>
        <v>1.5620834085629875E-2</v>
      </c>
      <c r="J97" s="83">
        <f>SUMIFS(Dataset!$AJ:$AJ,Dataset!$F:$F,credito!$D$11,Dataset!$AC:$AC,"A",Dataset!$J:$J,"&lt;"&amp;$D97,Dataset!$J:$J,"&gt;="&amp;$C97)+SUMIFS(Dataset!$AJ:$AJ,Dataset!$F:$F,credito!$D$11,Dataset!$AC:$AC,"A-",Dataset!$J:$J,"&lt;"&amp;$D97,Dataset!$J:$J,"&gt;="&amp;$C97)+SUMIFS(Dataset!$AJ:$AJ,Dataset!$F:$F,credito!$D$11,Dataset!$AC:$AC,"A+",Dataset!$J:$J,"&lt;"&amp;$D97,Dataset!$J:$J,"&gt;="&amp;$C97)</f>
        <v>6.0165763263371683E-2</v>
      </c>
      <c r="K97" s="83">
        <f>SUMIFS(Dataset!$AJ:$AJ,Dataset!$F:$F,credito!$D$11,Dataset!$AC:$AC,"BBB-",Dataset!$J:$J,"&lt;"&amp;$D97,Dataset!$J:$J,"&gt;="&amp;$C97)+SUMIFS(Dataset!$AJ:$AJ,Dataset!$F:$F,credito!$D$11,Dataset!$AC:$AC,"BBB",Dataset!$J:$J,"&lt;"&amp;$D97,Dataset!$J:$J,"&gt;="&amp;$C97)+SUMIFS(Dataset!$AJ:$AJ,Dataset!$F:$F,credito!$D$11,Dataset!$AC:$AC,"BBB+",Dataset!$J:$J,"&lt;"&amp;$D97,Dataset!$J:$J,"&gt;="&amp;$C97)</f>
        <v>-2.0876138838920574E-2</v>
      </c>
      <c r="L97" s="83">
        <f>SUMIFS(Dataset!$AJ:$AJ,Dataset!$F:$F,credito!$D$11,Dataset!$J:$J,"&lt;"&amp;$D97,Dataset!$J:$J,"&gt;="&amp;$C97,Dataset!$AC:$AC,"&lt;&gt;N-1+",Dataset!$AC:$AC,"&lt;&gt;*AA*",Dataset!$AC:$AC,"&lt;&gt;*AAA*",Dataset!$AC:$AC,"&lt;&gt;A",Dataset!$AC:$AC,"&lt;&gt;A-",Dataset!$AC:$AC,"&lt;&gt;A+",Dataset!$AC:$AC,"&lt;&gt;*BBB*")</f>
        <v>0</v>
      </c>
      <c r="M97" s="84">
        <f t="shared" si="13"/>
        <v>5.4910458510080987E-2</v>
      </c>
      <c r="N97" s="82">
        <f>SUMIFS(Dataset!$AA:$AA,Dataset!$F:$F,credito!$D$11,Dataset!$AC:$AC,N$90,Dataset!$J:$J,"&lt;"&amp;$D97,Dataset!$J:$J,"&gt;="&amp;$C97)</f>
        <v>0</v>
      </c>
      <c r="O97" s="83">
        <f>SUMIFS(Dataset!$AA:$AA,Dataset!$F:$F,credito!$D$11,Dataset!$AC:$AC,O$90,Dataset!$J:$J,"&lt;"&amp;$D97,Dataset!$J:$J,"&gt;="&amp;$C97)</f>
        <v>0</v>
      </c>
      <c r="P97" s="83">
        <f>SUMIFS(Dataset!$AA:$AA,Dataset!$F:$F,credito!$D$11,Dataset!$AC:$AC,P$90,Dataset!$J:$J,"&lt;"&amp;$D97,Dataset!$J:$J,"&gt;="&amp;$C97)</f>
        <v>0</v>
      </c>
      <c r="Q97" s="83">
        <f>SUMIFS(Dataset!$AA:$AA,Dataset!$F:$F,credito!$D$11,Dataset!$AC:$AC,Q$90,Dataset!$J:$J,"&lt;"&amp;$D97,Dataset!$J:$J,"&gt;="&amp;$C97)</f>
        <v>0</v>
      </c>
      <c r="R97" s="83">
        <f>SUMIFS(Dataset!$AA:$AA,Dataset!$F:$F,credito!$D$11,Dataset!$AC:$AC,R$90,Dataset!$J:$J,"&lt;"&amp;$D97,Dataset!$J:$J,"&gt;="&amp;$C97)</f>
        <v>-1.9109481983154162E-3</v>
      </c>
      <c r="S97" s="83">
        <f>SUMIFS(Dataset!$AA:$AA,Dataset!$F:$F,credito!$D$11,Dataset!$AC:$AC,"A",Dataset!$J:$J,"&lt;"&amp;$D97,Dataset!$J:$J,"&gt;="&amp;$C97)+SUMIFS(Dataset!$AA:$AA,Dataset!$F:$F,credito!$D$11,Dataset!$AC:$AC,"A-",Dataset!$J:$J,"&lt;"&amp;$D97,Dataset!$J:$J,"&gt;="&amp;$C97)+SUMIFS(Dataset!$AA:$AA,Dataset!$F:$F,credito!$D$11,Dataset!$AC:$AC,"A+",Dataset!$J:$J,"&lt;"&amp;$D97,Dataset!$J:$J,"&gt;="&amp;$C97)</f>
        <v>2.3226597003330997E-2</v>
      </c>
      <c r="T97" s="83">
        <f>SUMIFS(Dataset!$AA:$AA,Dataset!$F:$F,credito!$D$11,Dataset!$AC:$AC,"BBB-",Dataset!$J:$J,"&lt;"&amp;$D97,Dataset!$J:$J,"&gt;="&amp;$C97)+SUMIFS(Dataset!$AA:$AA,Dataset!$F:$F,credito!$D$11,Dataset!$AC:$AC,"BBB",Dataset!$J:$J,"&lt;"&amp;$D97,Dataset!$J:$J,"&gt;="&amp;$C97)+SUMIFS(Dataset!$AA:$AA,Dataset!$F:$F,credito!$D$11,Dataset!$AC:$AC,"BBB+",Dataset!$J:$J,"&lt;"&amp;$D97,Dataset!$J:$J,"&gt;="&amp;$C97)</f>
        <v>7.111111441656906E-2</v>
      </c>
      <c r="U97" s="83">
        <f>SUMIFS(Dataset!$AA:$AA,Dataset!$F:$F,credito!$D$11,Dataset!$J:$J,"&lt;"&amp;$D97,Dataset!$J:$J,"&gt;="&amp;$C97,Dataset!$AC:$AC,"&lt;&gt;N-1+",Dataset!$AC:$AC,"&lt;&gt;*AA*",Dataset!$AC:$AC,"&lt;&gt;*AAA*",Dataset!$AC:$AC,"&lt;&gt;A",Dataset!$AC:$AC,"&lt;&gt;A-",Dataset!$AC:$AC,"&lt;&gt;A+",Dataset!$AC:$AC,"&lt;&gt;*BBB*")</f>
        <v>0</v>
      </c>
      <c r="V97" s="84">
        <f t="shared" si="14"/>
        <v>9.2426763221584635E-2</v>
      </c>
      <c r="AB97" s="61">
        <v>1080</v>
      </c>
      <c r="AC97" s="100">
        <v>3600</v>
      </c>
      <c r="AD97" s="101">
        <f>SUMIFS(Dataset!AJ:AJ,Dataset!F:F,credito!$D$11,Dataset!AH:AH,"deposito",Dataset!T:T,"$",Dataset!J:J,"&lt;"&amp;$AC97/365,Dataset!J:J,"&gt;="&amp;$AB97/365)</f>
        <v>0</v>
      </c>
      <c r="AE97" s="101">
        <f>SUMIFS(Dataset!AJ:AJ,Dataset!F:F,credito!$D$11,Dataset!AH:AH,"deposito",Dataset!T:T,"uf",Dataset!J:J,"&lt;"&amp;$AC97/365,Dataset!J:J,"&gt;="&amp;$AB97/365)</f>
        <v>0</v>
      </c>
      <c r="AF97" s="101">
        <f>SUMIFS(Dataset!AJ:AJ,Dataset!F:F,credito!$D$11,Dataset!AH:AH,"deposito",Dataset!T:T,"us$",Dataset!J:J,"&lt;"&amp;$AC97/365,Dataset!J:J,"&gt;="&amp;$AB97/365)</f>
        <v>0</v>
      </c>
      <c r="AG97" s="101">
        <f>SUMIFS(Dataset!AJ:AJ,Dataset!F:F,credito!$D$11,Dataset!AH:AH,"factura",Dataset!J:J,"&lt;"&amp;$AC97/365,Dataset!J:J,"&gt;="&amp;$AB97/365)</f>
        <v>0</v>
      </c>
      <c r="AH97" s="102">
        <f>SUMIFS(Dataset!AJ:AJ,Dataset!F:F,credito!$D$11,Dataset!AH:AH,"letra hipotecaria",Dataset!J:J,"&lt;"&amp;$AC97/365,Dataset!J:J,"&gt;="&amp;$AB97/365)</f>
        <v>0</v>
      </c>
      <c r="AI97" s="84">
        <f t="shared" si="15"/>
        <v>0</v>
      </c>
    </row>
    <row r="98" spans="2:35" ht="27" customHeight="1" x14ac:dyDescent="0.3">
      <c r="C98" s="61">
        <v>6.5</v>
      </c>
      <c r="D98" s="81">
        <v>7.5</v>
      </c>
      <c r="E98" s="82">
        <f>SUMIFS(Dataset!$AJ:$AJ,Dataset!$F:$F,credito!$D$11,Dataset!$AC:$AC,E$90,Dataset!$J:$J,"&lt;"&amp;$D98,Dataset!$J:$J,"&gt;="&amp;$C98)</f>
        <v>0</v>
      </c>
      <c r="F98" s="83">
        <f>SUMIFS(Dataset!$AJ:$AJ,Dataset!$F:$F,credito!$D$11,Dataset!$AC:$AC,F$90,Dataset!$J:$J,"&lt;"&amp;$D98,Dataset!$J:$J,"&gt;="&amp;$C98)</f>
        <v>0</v>
      </c>
      <c r="G98" s="83">
        <f>SUMIFS(Dataset!$AJ:$AJ,Dataset!$F:$F,credito!$D$11,Dataset!$AC:$AC,G$90,Dataset!$J:$J,"&lt;"&amp;$D98,Dataset!$J:$J,"&gt;="&amp;$C98)</f>
        <v>0</v>
      </c>
      <c r="H98" s="83">
        <f>SUMIFS(Dataset!$AJ:$AJ,Dataset!$F:$F,credito!$D$11,Dataset!$AC:$AC,H$90,Dataset!$J:$J,"&lt;"&amp;$D98,Dataset!$J:$J,"&gt;="&amp;$C98)</f>
        <v>6.4939399649742383E-3</v>
      </c>
      <c r="I98" s="83">
        <f>SUMIFS(Dataset!$AJ:$AJ,Dataset!$F:$F,credito!$D$11,Dataset!$AC:$AC,I$90,Dataset!$J:$J,"&lt;"&amp;$D98,Dataset!$J:$J,"&gt;="&amp;$C98)</f>
        <v>5.1202847533662839E-2</v>
      </c>
      <c r="J98" s="83">
        <f>SUMIFS(Dataset!$AJ:$AJ,Dataset!$F:$F,credito!$D$11,Dataset!$AC:$AC,"A",Dataset!$J:$J,"&lt;"&amp;$D98,Dataset!$J:$J,"&gt;="&amp;$C98)+SUMIFS(Dataset!$AJ:$AJ,Dataset!$F:$F,credito!$D$11,Dataset!$AC:$AC,"A-",Dataset!$J:$J,"&lt;"&amp;$D98,Dataset!$J:$J,"&gt;="&amp;$C98)+SUMIFS(Dataset!$AJ:$AJ,Dataset!$F:$F,credito!$D$11,Dataset!$AC:$AC,"A+",Dataset!$J:$J,"&lt;"&amp;$D98,Dataset!$J:$J,"&gt;="&amp;$C98)</f>
        <v>-7.7975053953743051E-3</v>
      </c>
      <c r="K98" s="83">
        <f>SUMIFS(Dataset!$AJ:$AJ,Dataset!$F:$F,credito!$D$11,Dataset!$AC:$AC,"BBB-",Dataset!$J:$J,"&lt;"&amp;$D98,Dataset!$J:$J,"&gt;="&amp;$C98)+SUMIFS(Dataset!$AJ:$AJ,Dataset!$F:$F,credito!$D$11,Dataset!$AC:$AC,"BBB",Dataset!$J:$J,"&lt;"&amp;$D98,Dataset!$J:$J,"&gt;="&amp;$C98)+SUMIFS(Dataset!$AJ:$AJ,Dataset!$F:$F,credito!$D$11,Dataset!$AC:$AC,"BBB+",Dataset!$J:$J,"&lt;"&amp;$D98,Dataset!$J:$J,"&gt;="&amp;$C98)</f>
        <v>0</v>
      </c>
      <c r="L98" s="83">
        <f>SUMIFS(Dataset!$AJ:$AJ,Dataset!$F:$F,credito!$D$11,Dataset!$J:$J,"&lt;"&amp;$D98,Dataset!$J:$J,"&gt;="&amp;$C98,Dataset!$AC:$AC,"&lt;&gt;N-1+",Dataset!$AC:$AC,"&lt;&gt;*AA*",Dataset!$AC:$AC,"&lt;&gt;*AAA*",Dataset!$AC:$AC,"&lt;&gt;A",Dataset!$AC:$AC,"&lt;&gt;A-",Dataset!$AC:$AC,"&lt;&gt;A+",Dataset!$AC:$AC,"&lt;&gt;*BBB*")</f>
        <v>0</v>
      </c>
      <c r="M98" s="84">
        <f t="shared" si="13"/>
        <v>4.989928210326277E-2</v>
      </c>
      <c r="N98" s="82">
        <f>SUMIFS(Dataset!$AA:$AA,Dataset!$F:$F,credito!$D$11,Dataset!$AC:$AC,N$90,Dataset!$J:$J,"&lt;"&amp;$D98,Dataset!$J:$J,"&gt;="&amp;$C98)</f>
        <v>0</v>
      </c>
      <c r="O98" s="83">
        <f>SUMIFS(Dataset!$AA:$AA,Dataset!$F:$F,credito!$D$11,Dataset!$AC:$AC,O$90,Dataset!$J:$J,"&lt;"&amp;$D98,Dataset!$J:$J,"&gt;="&amp;$C98)</f>
        <v>0</v>
      </c>
      <c r="P98" s="83">
        <f>SUMIFS(Dataset!$AA:$AA,Dataset!$F:$F,credito!$D$11,Dataset!$AC:$AC,P$90,Dataset!$J:$J,"&lt;"&amp;$D98,Dataset!$J:$J,"&gt;="&amp;$C98)</f>
        <v>0</v>
      </c>
      <c r="Q98" s="83">
        <f>SUMIFS(Dataset!$AA:$AA,Dataset!$F:$F,credito!$D$11,Dataset!$AC:$AC,Q$90,Dataset!$J:$J,"&lt;"&amp;$D98,Dataset!$J:$J,"&gt;="&amp;$C98)</f>
        <v>-7.9442511251380521E-4</v>
      </c>
      <c r="R98" s="83">
        <f>SUMIFS(Dataset!$AA:$AA,Dataset!$F:$F,credito!$D$11,Dataset!$AC:$AC,R$90,Dataset!$J:$J,"&lt;"&amp;$D98,Dataset!$J:$J,"&gt;="&amp;$C98)</f>
        <v>-6.2638133602023046E-3</v>
      </c>
      <c r="S98" s="83">
        <f>SUMIFS(Dataset!$AA:$AA,Dataset!$F:$F,credito!$D$11,Dataset!$AC:$AC,"A",Dataset!$J:$J,"&lt;"&amp;$D98,Dataset!$J:$J,"&gt;="&amp;$C98)+SUMIFS(Dataset!$AA:$AA,Dataset!$F:$F,credito!$D$11,Dataset!$AC:$AC,"A-",Dataset!$J:$J,"&lt;"&amp;$D98,Dataset!$J:$J,"&gt;="&amp;$C98)+SUMIFS(Dataset!$AA:$AA,Dataset!$F:$F,credito!$D$11,Dataset!$AC:$AC,"A+",Dataset!$J:$J,"&lt;"&amp;$D98,Dataset!$J:$J,"&gt;="&amp;$C98)</f>
        <v>9.7530696901810352E-3</v>
      </c>
      <c r="T98" s="83">
        <f>SUMIFS(Dataset!$AA:$AA,Dataset!$F:$F,credito!$D$11,Dataset!$AC:$AC,"BBB-",Dataset!$J:$J,"&lt;"&amp;$D98,Dataset!$J:$J,"&gt;="&amp;$C98)+SUMIFS(Dataset!$AA:$AA,Dataset!$F:$F,credito!$D$11,Dataset!$AC:$AC,"BBB",Dataset!$J:$J,"&lt;"&amp;$D98,Dataset!$J:$J,"&gt;="&amp;$C98)+SUMIFS(Dataset!$AA:$AA,Dataset!$F:$F,credito!$D$11,Dataset!$AC:$AC,"BBB+",Dataset!$J:$J,"&lt;"&amp;$D98,Dataset!$J:$J,"&gt;="&amp;$C98)</f>
        <v>0</v>
      </c>
      <c r="U98" s="83">
        <f>SUMIFS(Dataset!$AA:$AA,Dataset!$F:$F,credito!$D$11,Dataset!$J:$J,"&lt;"&amp;$D98,Dataset!$J:$J,"&gt;="&amp;$C98,Dataset!$AC:$AC,"&lt;&gt;N-1+",Dataset!$AC:$AC,"&lt;&gt;*AA*",Dataset!$AC:$AC,"&lt;&gt;*AAA*",Dataset!$AC:$AC,"&lt;&gt;A",Dataset!$AC:$AC,"&lt;&gt;A-",Dataset!$AC:$AC,"&lt;&gt;A+",Dataset!$AC:$AC,"&lt;&gt;*BBB*")</f>
        <v>0</v>
      </c>
      <c r="V98" s="84">
        <f t="shared" si="14"/>
        <v>2.6948312174649254E-3</v>
      </c>
      <c r="AB98" s="61">
        <v>3600</v>
      </c>
      <c r="AC98" s="103">
        <v>10000</v>
      </c>
      <c r="AD98" s="104">
        <f>SUMIFS(Dataset!AJ:AJ,Dataset!F:F,credito!$D$11,Dataset!AH:AH,"deposito",Dataset!T:T,"$",Dataset!J:J,"&lt;"&amp;$AC98/365,Dataset!J:J,"&gt;="&amp;$AB98/365)</f>
        <v>0</v>
      </c>
      <c r="AE98" s="104">
        <f>SUMIFS(Dataset!AJ:AJ,Dataset!F:F,credito!$D$11,Dataset!AH:AH,"deposito",Dataset!T:T,"uf",Dataset!J:J,"&lt;"&amp;$AC98/365,Dataset!J:J,"&gt;="&amp;$AB98/365)</f>
        <v>0</v>
      </c>
      <c r="AF98" s="104">
        <f>SUMIFS(Dataset!AJ:AJ,Dataset!F:F,credito!$D$11,Dataset!AH:AH,"deposito",Dataset!T:T,"us$",Dataset!J:J,"&lt;"&amp;$AC98/365,Dataset!J:J,"&gt;="&amp;$AB98/365)</f>
        <v>0</v>
      </c>
      <c r="AG98" s="104">
        <f>SUMIFS(Dataset!AJ:AJ,Dataset!F:F,credito!$D$11,Dataset!AH:AH,"factura",Dataset!J:J,"&lt;"&amp;$AC98/365,Dataset!J:J,"&gt;="&amp;$AB98/365)</f>
        <v>0</v>
      </c>
      <c r="AH98" s="105">
        <f>SUMIFS(Dataset!AJ:AJ,Dataset!F:F,credito!$D$11,Dataset!AH:AH,"letra hipotecaria",Dataset!J:J,"&lt;"&amp;$AC98/365,Dataset!J:J,"&gt;="&amp;$AB98/365)</f>
        <v>0</v>
      </c>
      <c r="AI98" s="90">
        <f t="shared" si="15"/>
        <v>0</v>
      </c>
    </row>
    <row r="99" spans="2:35" ht="27" customHeight="1" x14ac:dyDescent="0.3">
      <c r="C99" s="61">
        <v>7.5</v>
      </c>
      <c r="D99" s="81">
        <v>8.5</v>
      </c>
      <c r="E99" s="82">
        <f>SUMIFS(Dataset!$AJ:$AJ,Dataset!$F:$F,credito!$D$11,Dataset!$AC:$AC,E$90,Dataset!$J:$J,"&lt;"&amp;$D99,Dataset!$J:$J,"&gt;="&amp;$C99)</f>
        <v>0</v>
      </c>
      <c r="F99" s="83">
        <f>SUMIFS(Dataset!$AJ:$AJ,Dataset!$F:$F,credito!$D$11,Dataset!$AC:$AC,F$90,Dataset!$J:$J,"&lt;"&amp;$D99,Dataset!$J:$J,"&gt;="&amp;$C99)</f>
        <v>6.8975333591311987E-3</v>
      </c>
      <c r="G99" s="83">
        <f>SUMIFS(Dataset!$AJ:$AJ,Dataset!$F:$F,credito!$D$11,Dataset!$AC:$AC,G$90,Dataset!$J:$J,"&lt;"&amp;$D99,Dataset!$J:$J,"&gt;="&amp;$C99)</f>
        <v>0</v>
      </c>
      <c r="H99" s="83">
        <f>SUMIFS(Dataset!$AJ:$AJ,Dataset!$F:$F,credito!$D$11,Dataset!$AC:$AC,H$90,Dataset!$J:$J,"&lt;"&amp;$D99,Dataset!$J:$J,"&gt;="&amp;$C99)</f>
        <v>0</v>
      </c>
      <c r="I99" s="83">
        <f>SUMIFS(Dataset!$AJ:$AJ,Dataset!$F:$F,credito!$D$11,Dataset!$AC:$AC,I$90,Dataset!$J:$J,"&lt;"&amp;$D99,Dataset!$J:$J,"&gt;="&amp;$C99)</f>
        <v>4.4481783911955383E-2</v>
      </c>
      <c r="J99" s="83">
        <f>SUMIFS(Dataset!$AJ:$AJ,Dataset!$F:$F,credito!$D$11,Dataset!$AC:$AC,"A",Dataset!$J:$J,"&lt;"&amp;$D99,Dataset!$J:$J,"&gt;="&amp;$C99)+SUMIFS(Dataset!$AJ:$AJ,Dataset!$F:$F,credito!$D$11,Dataset!$AC:$AC,"A-",Dataset!$J:$J,"&lt;"&amp;$D99,Dataset!$J:$J,"&gt;="&amp;$C99)+SUMIFS(Dataset!$AJ:$AJ,Dataset!$F:$F,credito!$D$11,Dataset!$AC:$AC,"A+",Dataset!$J:$J,"&lt;"&amp;$D99,Dataset!$J:$J,"&gt;="&amp;$C99)</f>
        <v>-4.0210200200284124E-2</v>
      </c>
      <c r="K99" s="83">
        <f>SUMIFS(Dataset!$AJ:$AJ,Dataset!$F:$F,credito!$D$11,Dataset!$AC:$AC,"BBB-",Dataset!$J:$J,"&lt;"&amp;$D99,Dataset!$J:$J,"&gt;="&amp;$C99)+SUMIFS(Dataset!$AJ:$AJ,Dataset!$F:$F,credito!$D$11,Dataset!$AC:$AC,"BBB",Dataset!$J:$J,"&lt;"&amp;$D99,Dataset!$J:$J,"&gt;="&amp;$C99)+SUMIFS(Dataset!$AJ:$AJ,Dataset!$F:$F,credito!$D$11,Dataset!$AC:$AC,"BBB+",Dataset!$J:$J,"&lt;"&amp;$D99,Dataset!$J:$J,"&gt;="&amp;$C99)</f>
        <v>-3.3920374528515533E-2</v>
      </c>
      <c r="L99" s="83">
        <f>SUMIFS(Dataset!$AJ:$AJ,Dataset!$F:$F,credito!$D$11,Dataset!$J:$J,"&lt;"&amp;$D99,Dataset!$J:$J,"&gt;="&amp;$C99,Dataset!$AC:$AC,"&lt;&gt;N-1+",Dataset!$AC:$AC,"&lt;&gt;*AA*",Dataset!$AC:$AC,"&lt;&gt;*AAA*",Dataset!$AC:$AC,"&lt;&gt;A",Dataset!$AC:$AC,"&lt;&gt;A-",Dataset!$AC:$AC,"&lt;&gt;A+",Dataset!$AC:$AC,"&lt;&gt;*BBB*")</f>
        <v>0</v>
      </c>
      <c r="M99" s="84">
        <f t="shared" si="13"/>
        <v>-2.2751257457713073E-2</v>
      </c>
      <c r="N99" s="82">
        <f>SUMIFS(Dataset!$AA:$AA,Dataset!$F:$F,credito!$D$11,Dataset!$AC:$AC,N$90,Dataset!$J:$J,"&lt;"&amp;$D99,Dataset!$J:$J,"&gt;="&amp;$C99)</f>
        <v>0</v>
      </c>
      <c r="O99" s="83">
        <f>SUMIFS(Dataset!$AA:$AA,Dataset!$F:$F,credito!$D$11,Dataset!$AC:$AC,O$90,Dataset!$J:$J,"&lt;"&amp;$D99,Dataset!$J:$J,"&gt;="&amp;$C99)</f>
        <v>-2.6272316042370617E-3</v>
      </c>
      <c r="P99" s="83">
        <f>SUMIFS(Dataset!$AA:$AA,Dataset!$F:$F,credito!$D$11,Dataset!$AC:$AC,P$90,Dataset!$J:$J,"&lt;"&amp;$D99,Dataset!$J:$J,"&gt;="&amp;$C99)</f>
        <v>0</v>
      </c>
      <c r="Q99" s="83">
        <f>SUMIFS(Dataset!$AA:$AA,Dataset!$F:$F,credito!$D$11,Dataset!$AC:$AC,Q$90,Dataset!$J:$J,"&lt;"&amp;$D99,Dataset!$J:$J,"&gt;="&amp;$C99)</f>
        <v>0</v>
      </c>
      <c r="R99" s="83">
        <f>SUMIFS(Dataset!$AA:$AA,Dataset!$F:$F,credito!$D$11,Dataset!$AC:$AC,R$90,Dataset!$J:$J,"&lt;"&amp;$D99,Dataset!$J:$J,"&gt;="&amp;$C99)</f>
        <v>-5.4416034610215418E-3</v>
      </c>
      <c r="S99" s="83">
        <f>SUMIFS(Dataset!$AA:$AA,Dataset!$F:$F,credito!$D$11,Dataset!$AC:$AC,"A",Dataset!$J:$J,"&lt;"&amp;$D99,Dataset!$J:$J,"&gt;="&amp;$C99)+SUMIFS(Dataset!$AA:$AA,Dataset!$F:$F,credito!$D$11,Dataset!$AC:$AC,"A-",Dataset!$J:$J,"&lt;"&amp;$D99,Dataset!$J:$J,"&gt;="&amp;$C99)+SUMIFS(Dataset!$AA:$AA,Dataset!$F:$F,credito!$D$11,Dataset!$AC:$AC,"A+",Dataset!$J:$J,"&lt;"&amp;$D99,Dataset!$J:$J,"&gt;="&amp;$C99)</f>
        <v>8.860148400076992E-2</v>
      </c>
      <c r="T99" s="83">
        <f>SUMIFS(Dataset!$AA:$AA,Dataset!$F:$F,credito!$D$11,Dataset!$AC:$AC,"BBB-",Dataset!$J:$J,"&lt;"&amp;$D99,Dataset!$J:$J,"&gt;="&amp;$C99)+SUMIFS(Dataset!$AA:$AA,Dataset!$F:$F,credito!$D$11,Dataset!$AC:$AC,"BBB",Dataset!$J:$J,"&lt;"&amp;$D99,Dataset!$J:$J,"&gt;="&amp;$C99)+SUMIFS(Dataset!$AA:$AA,Dataset!$F:$F,credito!$D$11,Dataset!$AC:$AC,"BBB+",Dataset!$J:$J,"&lt;"&amp;$D99,Dataset!$J:$J,"&gt;="&amp;$C99)</f>
        <v>0.17383972430509531</v>
      </c>
      <c r="U99" s="83">
        <f>SUMIFS(Dataset!$AA:$AA,Dataset!$F:$F,credito!$D$11,Dataset!$J:$J,"&lt;"&amp;$D99,Dataset!$J:$J,"&gt;="&amp;$C99,Dataset!$AC:$AC,"&lt;&gt;N-1+",Dataset!$AC:$AC,"&lt;&gt;*AA*",Dataset!$AC:$AC,"&lt;&gt;*AAA*",Dataset!$AC:$AC,"&lt;&gt;A",Dataset!$AC:$AC,"&lt;&gt;A-",Dataset!$AC:$AC,"&lt;&gt;A+",Dataset!$AC:$AC,"&lt;&gt;*BBB*")</f>
        <v>0</v>
      </c>
      <c r="V99" s="84">
        <f t="shared" si="14"/>
        <v>0.25437237324060663</v>
      </c>
      <c r="AB99" s="179" t="s">
        <v>80</v>
      </c>
      <c r="AC99" s="181"/>
      <c r="AD99" s="83">
        <f t="shared" ref="AD99:AI99" si="16">SUM(AD71:AD98)</f>
        <v>6.2350878329907556E-3</v>
      </c>
      <c r="AE99" s="83">
        <f t="shared" si="16"/>
        <v>0</v>
      </c>
      <c r="AF99" s="83">
        <f t="shared" si="16"/>
        <v>0</v>
      </c>
      <c r="AG99" s="83">
        <f t="shared" si="16"/>
        <v>4.9722737110518469E-3</v>
      </c>
      <c r="AH99" s="83">
        <f t="shared" si="16"/>
        <v>0</v>
      </c>
      <c r="AI99" s="84">
        <f t="shared" si="16"/>
        <v>1.1207361544042602E-2</v>
      </c>
    </row>
    <row r="100" spans="2:35" ht="27" customHeight="1" x14ac:dyDescent="0.3">
      <c r="C100" s="61">
        <v>8.5</v>
      </c>
      <c r="D100" s="81">
        <v>9.5</v>
      </c>
      <c r="E100" s="82">
        <f>SUMIFS(Dataset!$AJ:$AJ,Dataset!$F:$F,credito!$D$11,Dataset!$AC:$AC,E$90,Dataset!$J:$J,"&lt;"&amp;$D100,Dataset!$J:$J,"&gt;="&amp;$C100)</f>
        <v>0</v>
      </c>
      <c r="F100" s="83">
        <f>SUMIFS(Dataset!$AJ:$AJ,Dataset!$F:$F,credito!$D$11,Dataset!$AC:$AC,F$90,Dataset!$J:$J,"&lt;"&amp;$D100,Dataset!$J:$J,"&gt;="&amp;$C100)</f>
        <v>0</v>
      </c>
      <c r="G100" s="83">
        <f>SUMIFS(Dataset!$AJ:$AJ,Dataset!$F:$F,credito!$D$11,Dataset!$AC:$AC,G$90,Dataset!$J:$J,"&lt;"&amp;$D100,Dataset!$J:$J,"&gt;="&amp;$C100)</f>
        <v>0</v>
      </c>
      <c r="H100" s="83">
        <f>SUMIFS(Dataset!$AJ:$AJ,Dataset!$F:$F,credito!$D$11,Dataset!$AC:$AC,H$90,Dataset!$J:$J,"&lt;"&amp;$D100,Dataset!$J:$J,"&gt;="&amp;$C100)</f>
        <v>6.0264127259886105E-3</v>
      </c>
      <c r="I100" s="83">
        <f>SUMIFS(Dataset!$AJ:$AJ,Dataset!$F:$F,credito!$D$11,Dataset!$AC:$AC,I$90,Dataset!$J:$J,"&lt;"&amp;$D100,Dataset!$J:$J,"&gt;="&amp;$C100)</f>
        <v>3.4667555616839665E-2</v>
      </c>
      <c r="J100" s="83">
        <f>SUMIFS(Dataset!$AJ:$AJ,Dataset!$F:$F,credito!$D$11,Dataset!$AC:$AC,"A",Dataset!$J:$J,"&lt;"&amp;$D100,Dataset!$J:$J,"&gt;="&amp;$C100)+SUMIFS(Dataset!$AJ:$AJ,Dataset!$F:$F,credito!$D$11,Dataset!$AC:$AC,"A-",Dataset!$J:$J,"&lt;"&amp;$D100,Dataset!$J:$J,"&gt;="&amp;$C100)+SUMIFS(Dataset!$AJ:$AJ,Dataset!$F:$F,credito!$D$11,Dataset!$AC:$AC,"A+",Dataset!$J:$J,"&lt;"&amp;$D100,Dataset!$J:$J,"&gt;="&amp;$C100)</f>
        <v>4.7605645354355033E-3</v>
      </c>
      <c r="K100" s="83">
        <f>SUMIFS(Dataset!$AJ:$AJ,Dataset!$F:$F,credito!$D$11,Dataset!$AC:$AC,"BBB-",Dataset!$J:$J,"&lt;"&amp;$D100,Dataset!$J:$J,"&gt;="&amp;$C100)+SUMIFS(Dataset!$AJ:$AJ,Dataset!$F:$F,credito!$D$11,Dataset!$AC:$AC,"BBB",Dataset!$J:$J,"&lt;"&amp;$D100,Dataset!$J:$J,"&gt;="&amp;$C100)+SUMIFS(Dataset!$AJ:$AJ,Dataset!$F:$F,credito!$D$11,Dataset!$AC:$AC,"BBB+",Dataset!$J:$J,"&lt;"&amp;$D100,Dataset!$J:$J,"&gt;="&amp;$C100)</f>
        <v>-5.7639316303320998E-3</v>
      </c>
      <c r="L100" s="83">
        <f>SUMIFS(Dataset!$AJ:$AJ,Dataset!$F:$F,credito!$D$11,Dataset!$J:$J,"&lt;"&amp;$D100,Dataset!$J:$J,"&gt;="&amp;$C100,Dataset!$AC:$AC,"&lt;&gt;N-1+",Dataset!$AC:$AC,"&lt;&gt;*AA*",Dataset!$AC:$AC,"&lt;&gt;*AAA*",Dataset!$AC:$AC,"&lt;&gt;A",Dataset!$AC:$AC,"&lt;&gt;A-",Dataset!$AC:$AC,"&lt;&gt;A+",Dataset!$AC:$AC,"&lt;&gt;*BBB*")</f>
        <v>0</v>
      </c>
      <c r="M100" s="84">
        <f t="shared" si="13"/>
        <v>3.9690601247931681E-2</v>
      </c>
      <c r="N100" s="82">
        <f>SUMIFS(Dataset!$AA:$AA,Dataset!$F:$F,credito!$D$11,Dataset!$AC:$AC,N$90,Dataset!$J:$J,"&lt;"&amp;$D100,Dataset!$J:$J,"&gt;="&amp;$C100)</f>
        <v>0</v>
      </c>
      <c r="O100" s="83">
        <f>SUMIFS(Dataset!$AA:$AA,Dataset!$F:$F,credito!$D$11,Dataset!$AC:$AC,O$90,Dataset!$J:$J,"&lt;"&amp;$D100,Dataset!$J:$J,"&gt;="&amp;$C100)</f>
        <v>0</v>
      </c>
      <c r="P100" s="83">
        <f>SUMIFS(Dataset!$AA:$AA,Dataset!$F:$F,credito!$D$11,Dataset!$AC:$AC,P$90,Dataset!$J:$J,"&lt;"&amp;$D100,Dataset!$J:$J,"&gt;="&amp;$C100)</f>
        <v>0</v>
      </c>
      <c r="Q100" s="83">
        <f>SUMIFS(Dataset!$AA:$AA,Dataset!$F:$F,credito!$D$11,Dataset!$AC:$AC,Q$90,Dataset!$J:$J,"&lt;"&amp;$D100,Dataset!$J:$J,"&gt;="&amp;$C100)</f>
        <v>-7.3723096205388498E-4</v>
      </c>
      <c r="R100" s="83">
        <f>SUMIFS(Dataset!$AA:$AA,Dataset!$F:$F,credito!$D$11,Dataset!$AC:$AC,R$90,Dataset!$J:$J,"&lt;"&amp;$D100,Dataset!$J:$J,"&gt;="&amp;$C100)</f>
        <v>9.3684549386729068E-3</v>
      </c>
      <c r="S100" s="83">
        <f>SUMIFS(Dataset!$AA:$AA,Dataset!$F:$F,credito!$D$11,Dataset!$AC:$AC,"A",Dataset!$J:$J,"&lt;"&amp;$D100,Dataset!$J:$J,"&gt;="&amp;$C100)+SUMIFS(Dataset!$AA:$AA,Dataset!$F:$F,credito!$D$11,Dataset!$AC:$AC,"A-",Dataset!$J:$J,"&lt;"&amp;$D100,Dataset!$J:$J,"&gt;="&amp;$C100)+SUMIFS(Dataset!$AA:$AA,Dataset!$F:$F,credito!$D$11,Dataset!$AC:$AC,"A+",Dataset!$J:$J,"&lt;"&amp;$D100,Dataset!$J:$J,"&gt;="&amp;$C100)</f>
        <v>-1.0489703617989975E-2</v>
      </c>
      <c r="T100" s="83">
        <f>SUMIFS(Dataset!$AA:$AA,Dataset!$F:$F,credito!$D$11,Dataset!$AC:$AC,"BBB-",Dataset!$J:$J,"&lt;"&amp;$D100,Dataset!$J:$J,"&gt;="&amp;$C100)+SUMIFS(Dataset!$AA:$AA,Dataset!$F:$F,credito!$D$11,Dataset!$AC:$AC,"BBB",Dataset!$J:$J,"&lt;"&amp;$D100,Dataset!$J:$J,"&gt;="&amp;$C100)+SUMIFS(Dataset!$AA:$AA,Dataset!$F:$F,credito!$D$11,Dataset!$AC:$AC,"BBB+",Dataset!$J:$J,"&lt;"&amp;$D100,Dataset!$J:$J,"&gt;="&amp;$C100)</f>
        <v>2.9539776593209739E-2</v>
      </c>
      <c r="U100" s="83">
        <f>SUMIFS(Dataset!$AA:$AA,Dataset!$F:$F,credito!$D$11,Dataset!$J:$J,"&lt;"&amp;$D100,Dataset!$J:$J,"&gt;="&amp;$C100,Dataset!$AC:$AC,"&lt;&gt;N-1+",Dataset!$AC:$AC,"&lt;&gt;*AA*",Dataset!$AC:$AC,"&lt;&gt;*AAA*",Dataset!$AC:$AC,"&lt;&gt;A",Dataset!$AC:$AC,"&lt;&gt;A-",Dataset!$AC:$AC,"&lt;&gt;A+",Dataset!$AC:$AC,"&lt;&gt;*BBB*")</f>
        <v>0</v>
      </c>
      <c r="V100" s="84">
        <f t="shared" si="14"/>
        <v>2.7681296951838786E-2</v>
      </c>
    </row>
    <row r="101" spans="2:35" ht="27" customHeight="1" x14ac:dyDescent="0.3">
      <c r="C101" s="61">
        <v>9.5</v>
      </c>
      <c r="D101" s="81">
        <v>10.5</v>
      </c>
      <c r="E101" s="82">
        <f>SUMIFS(Dataset!$AJ:$AJ,Dataset!$F:$F,credito!$D$11,Dataset!$AC:$AC,E$90,Dataset!$J:$J,"&lt;"&amp;$D101,Dataset!$J:$J,"&gt;="&amp;$C101)</f>
        <v>0</v>
      </c>
      <c r="F101" s="83">
        <f>SUMIFS(Dataset!$AJ:$AJ,Dataset!$F:$F,credito!$D$11,Dataset!$AC:$AC,F$90,Dataset!$J:$J,"&lt;"&amp;$D101,Dataset!$J:$J,"&gt;="&amp;$C101)</f>
        <v>0</v>
      </c>
      <c r="G101" s="83">
        <f>SUMIFS(Dataset!$AJ:$AJ,Dataset!$F:$F,credito!$D$11,Dataset!$AC:$AC,G$90,Dataset!$J:$J,"&lt;"&amp;$D101,Dataset!$J:$J,"&gt;="&amp;$C101)</f>
        <v>0</v>
      </c>
      <c r="H101" s="83">
        <f>SUMIFS(Dataset!$AJ:$AJ,Dataset!$F:$F,credito!$D$11,Dataset!$AC:$AC,H$90,Dataset!$J:$J,"&lt;"&amp;$D101,Dataset!$J:$J,"&gt;="&amp;$C101)</f>
        <v>5.357456274899872E-3</v>
      </c>
      <c r="I101" s="83">
        <f>SUMIFS(Dataset!$AJ:$AJ,Dataset!$F:$F,credito!$D$11,Dataset!$AC:$AC,I$90,Dataset!$J:$J,"&lt;"&amp;$D101,Dataset!$J:$J,"&gt;="&amp;$C101)</f>
        <v>7.8595007023771757E-3</v>
      </c>
      <c r="J101" s="83">
        <f>SUMIFS(Dataset!$AJ:$AJ,Dataset!$F:$F,credito!$D$11,Dataset!$AC:$AC,"A",Dataset!$J:$J,"&lt;"&amp;$D101,Dataset!$J:$J,"&gt;="&amp;$C101)+SUMIFS(Dataset!$AJ:$AJ,Dataset!$F:$F,credito!$D$11,Dataset!$AC:$AC,"A-",Dataset!$J:$J,"&lt;"&amp;$D101,Dataset!$J:$J,"&gt;="&amp;$C101)+SUMIFS(Dataset!$AJ:$AJ,Dataset!$F:$F,credito!$D$11,Dataset!$AC:$AC,"A+",Dataset!$J:$J,"&lt;"&amp;$D101,Dataset!$J:$J,"&gt;="&amp;$C101)</f>
        <v>-1.0761416334197756E-2</v>
      </c>
      <c r="K101" s="83">
        <f>SUMIFS(Dataset!$AJ:$AJ,Dataset!$F:$F,credito!$D$11,Dataset!$AC:$AC,"BBB-",Dataset!$J:$J,"&lt;"&amp;$D101,Dataset!$J:$J,"&gt;="&amp;$C101)+SUMIFS(Dataset!$AJ:$AJ,Dataset!$F:$F,credito!$D$11,Dataset!$AC:$AC,"BBB",Dataset!$J:$J,"&lt;"&amp;$D101,Dataset!$J:$J,"&gt;="&amp;$C101)+SUMIFS(Dataset!$AJ:$AJ,Dataset!$F:$F,credito!$D$11,Dataset!$AC:$AC,"BBB+",Dataset!$J:$J,"&lt;"&amp;$D101,Dataset!$J:$J,"&gt;="&amp;$C101)</f>
        <v>0</v>
      </c>
      <c r="L101" s="83">
        <f>SUMIFS(Dataset!$AJ:$AJ,Dataset!$F:$F,credito!$D$11,Dataset!$J:$J,"&lt;"&amp;$D101,Dataset!$J:$J,"&gt;="&amp;$C101,Dataset!$AC:$AC,"&lt;&gt;N-1+",Dataset!$AC:$AC,"&lt;&gt;*AA*",Dataset!$AC:$AC,"&lt;&gt;*AAA*",Dataset!$AC:$AC,"&lt;&gt;A",Dataset!$AC:$AC,"&lt;&gt;A-",Dataset!$AC:$AC,"&lt;&gt;A+",Dataset!$AC:$AC,"&lt;&gt;*BBB*")</f>
        <v>0</v>
      </c>
      <c r="M101" s="84">
        <f t="shared" si="13"/>
        <v>2.4555406430792921E-3</v>
      </c>
      <c r="N101" s="82">
        <f>SUMIFS(Dataset!$AA:$AA,Dataset!$F:$F,credito!$D$11,Dataset!$AC:$AC,N$90,Dataset!$J:$J,"&lt;"&amp;$D101,Dataset!$J:$J,"&gt;="&amp;$C101)</f>
        <v>0</v>
      </c>
      <c r="O101" s="83">
        <f>SUMIFS(Dataset!$AA:$AA,Dataset!$F:$F,credito!$D$11,Dataset!$AC:$AC,O$90,Dataset!$J:$J,"&lt;"&amp;$D101,Dataset!$J:$J,"&gt;="&amp;$C101)</f>
        <v>0</v>
      </c>
      <c r="P101" s="83">
        <f>SUMIFS(Dataset!$AA:$AA,Dataset!$F:$F,credito!$D$11,Dataset!$AC:$AC,P$90,Dataset!$J:$J,"&lt;"&amp;$D101,Dataset!$J:$J,"&gt;="&amp;$C101)</f>
        <v>0</v>
      </c>
      <c r="Q101" s="83">
        <f>SUMIFS(Dataset!$AA:$AA,Dataset!$F:$F,credito!$D$11,Dataset!$AC:$AC,Q$90,Dataset!$J:$J,"&lt;"&amp;$D101,Dataset!$J:$J,"&gt;="&amp;$C101)</f>
        <v>-6.5539531115637695E-4</v>
      </c>
      <c r="R101" s="83">
        <f>SUMIFS(Dataset!$AA:$AA,Dataset!$F:$F,credito!$D$11,Dataset!$AC:$AC,R$90,Dataset!$J:$J,"&lt;"&amp;$D101,Dataset!$J:$J,"&gt;="&amp;$C101)</f>
        <v>-9.6147866525789292E-4</v>
      </c>
      <c r="S101" s="83">
        <f>SUMIFS(Dataset!$AA:$AA,Dataset!$F:$F,credito!$D$11,Dataset!$AC:$AC,"A",Dataset!$J:$J,"&lt;"&amp;$D101,Dataset!$J:$J,"&gt;="&amp;$C101)+SUMIFS(Dataset!$AA:$AA,Dataset!$F:$F,credito!$D$11,Dataset!$AC:$AC,"A-",Dataset!$J:$J,"&lt;"&amp;$D101,Dataset!$J:$J,"&gt;="&amp;$C101)+SUMIFS(Dataset!$AA:$AA,Dataset!$F:$F,credito!$D$11,Dataset!$AC:$AC,"A+",Dataset!$J:$J,"&lt;"&amp;$D101,Dataset!$J:$J,"&gt;="&amp;$C101)</f>
        <v>2.3712328026491879E-2</v>
      </c>
      <c r="T101" s="83">
        <f>SUMIFS(Dataset!$AA:$AA,Dataset!$F:$F,credito!$D$11,Dataset!$AC:$AC,"BBB-",Dataset!$J:$J,"&lt;"&amp;$D101,Dataset!$J:$J,"&gt;="&amp;$C101)+SUMIFS(Dataset!$AA:$AA,Dataset!$F:$F,credito!$D$11,Dataset!$AC:$AC,"BBB",Dataset!$J:$J,"&lt;"&amp;$D101,Dataset!$J:$J,"&gt;="&amp;$C101)+SUMIFS(Dataset!$AA:$AA,Dataset!$F:$F,credito!$D$11,Dataset!$AC:$AC,"BBB+",Dataset!$J:$J,"&lt;"&amp;$D101,Dataset!$J:$J,"&gt;="&amp;$C101)</f>
        <v>0</v>
      </c>
      <c r="U101" s="83">
        <f>SUMIFS(Dataset!$AA:$AA,Dataset!$F:$F,credito!$D$11,Dataset!$J:$J,"&lt;"&amp;$D101,Dataset!$J:$J,"&gt;="&amp;$C101,Dataset!$AC:$AC,"&lt;&gt;N-1+",Dataset!$AC:$AC,"&lt;&gt;*AA*",Dataset!$AC:$AC,"&lt;&gt;*AAA*",Dataset!$AC:$AC,"&lt;&gt;A",Dataset!$AC:$AC,"&lt;&gt;A-",Dataset!$AC:$AC,"&lt;&gt;A+",Dataset!$AC:$AC,"&lt;&gt;*BBB*")</f>
        <v>0</v>
      </c>
      <c r="V101" s="84">
        <f t="shared" si="14"/>
        <v>2.2095454050077609E-2</v>
      </c>
    </row>
    <row r="102" spans="2:35" ht="27" customHeight="1" x14ac:dyDescent="0.3">
      <c r="C102" s="61">
        <v>10.5</v>
      </c>
      <c r="D102" s="81">
        <v>11.5</v>
      </c>
      <c r="E102" s="82">
        <f>SUMIFS(Dataset!$AJ:$AJ,Dataset!$F:$F,credito!$D$11,Dataset!$AC:$AC,E$90,Dataset!$J:$J,"&lt;"&amp;$D102,Dataset!$J:$J,"&gt;="&amp;$C102)</f>
        <v>0</v>
      </c>
      <c r="F102" s="83">
        <f>SUMIFS(Dataset!$AJ:$AJ,Dataset!$F:$F,credito!$D$11,Dataset!$AC:$AC,F$90,Dataset!$J:$J,"&lt;"&amp;$D102,Dataset!$J:$J,"&gt;="&amp;$C102)</f>
        <v>0</v>
      </c>
      <c r="G102" s="83">
        <f>SUMIFS(Dataset!$AJ:$AJ,Dataset!$F:$F,credito!$D$11,Dataset!$AC:$AC,G$90,Dataset!$J:$J,"&lt;"&amp;$D102,Dataset!$J:$J,"&gt;="&amp;$C102)</f>
        <v>0</v>
      </c>
      <c r="H102" s="83">
        <f>SUMIFS(Dataset!$AJ:$AJ,Dataset!$F:$F,credito!$D$11,Dataset!$AC:$AC,H$90,Dataset!$J:$J,"&lt;"&amp;$D102,Dataset!$J:$J,"&gt;="&amp;$C102)</f>
        <v>0</v>
      </c>
      <c r="I102" s="83">
        <f>SUMIFS(Dataset!$AJ:$AJ,Dataset!$F:$F,credito!$D$11,Dataset!$AC:$AC,I$90,Dataset!$J:$J,"&lt;"&amp;$D102,Dataset!$J:$J,"&gt;="&amp;$C102)</f>
        <v>4.7780639313262496E-3</v>
      </c>
      <c r="J102" s="83">
        <f>SUMIFS(Dataset!$AJ:$AJ,Dataset!$F:$F,credito!$D$11,Dataset!$AC:$AC,"A",Dataset!$J:$J,"&lt;"&amp;$D102,Dataset!$J:$J,"&gt;="&amp;$C102)+SUMIFS(Dataset!$AJ:$AJ,Dataset!$F:$F,credito!$D$11,Dataset!$AC:$AC,"A-",Dataset!$J:$J,"&lt;"&amp;$D102,Dataset!$J:$J,"&gt;="&amp;$C102)+SUMIFS(Dataset!$AJ:$AJ,Dataset!$F:$F,credito!$D$11,Dataset!$AC:$AC,"A+",Dataset!$J:$J,"&lt;"&amp;$D102,Dataset!$J:$J,"&gt;="&amp;$C102)</f>
        <v>4.2062291224033745E-3</v>
      </c>
      <c r="K102" s="83">
        <f>SUMIFS(Dataset!$AJ:$AJ,Dataset!$F:$F,credito!$D$11,Dataset!$AC:$AC,"BBB-",Dataset!$J:$J,"&lt;"&amp;$D102,Dataset!$J:$J,"&gt;="&amp;$C102)+SUMIFS(Dataset!$AJ:$AJ,Dataset!$F:$F,credito!$D$11,Dataset!$AC:$AC,"BBB",Dataset!$J:$J,"&lt;"&amp;$D102,Dataset!$J:$J,"&gt;="&amp;$C102)+SUMIFS(Dataset!$AJ:$AJ,Dataset!$F:$F,credito!$D$11,Dataset!$AC:$AC,"BBB+",Dataset!$J:$J,"&lt;"&amp;$D102,Dataset!$J:$J,"&gt;="&amp;$C102)</f>
        <v>0</v>
      </c>
      <c r="L102" s="83">
        <f>SUMIFS(Dataset!$AJ:$AJ,Dataset!$F:$F,credito!$D$11,Dataset!$J:$J,"&lt;"&amp;$D102,Dataset!$J:$J,"&gt;="&amp;$C102,Dataset!$AC:$AC,"&lt;&gt;N-1+",Dataset!$AC:$AC,"&lt;&gt;*AA*",Dataset!$AC:$AC,"&lt;&gt;*AAA*",Dataset!$AC:$AC,"&lt;&gt;A",Dataset!$AC:$AC,"&lt;&gt;A-",Dataset!$AC:$AC,"&lt;&gt;A+",Dataset!$AC:$AC,"&lt;&gt;*BBB*")</f>
        <v>0</v>
      </c>
      <c r="M102" s="84">
        <f t="shared" si="13"/>
        <v>8.984293053729624E-3</v>
      </c>
      <c r="N102" s="82">
        <f>SUMIFS(Dataset!$AA:$AA,Dataset!$F:$F,credito!$D$11,Dataset!$AC:$AC,N$90,Dataset!$J:$J,"&lt;"&amp;$D102,Dataset!$J:$J,"&gt;="&amp;$C102)</f>
        <v>0</v>
      </c>
      <c r="O102" s="83">
        <f>SUMIFS(Dataset!$AA:$AA,Dataset!$F:$F,credito!$D$11,Dataset!$AC:$AC,O$90,Dataset!$J:$J,"&lt;"&amp;$D102,Dataset!$J:$J,"&gt;="&amp;$C102)</f>
        <v>0</v>
      </c>
      <c r="P102" s="83">
        <f>SUMIFS(Dataset!$AA:$AA,Dataset!$F:$F,credito!$D$11,Dataset!$AC:$AC,P$90,Dataset!$J:$J,"&lt;"&amp;$D102,Dataset!$J:$J,"&gt;="&amp;$C102)</f>
        <v>0</v>
      </c>
      <c r="Q102" s="83">
        <f>SUMIFS(Dataset!$AA:$AA,Dataset!$F:$F,credito!$D$11,Dataset!$AC:$AC,Q$90,Dataset!$J:$J,"&lt;"&amp;$D102,Dataset!$J:$J,"&gt;="&amp;$C102)</f>
        <v>0</v>
      </c>
      <c r="R102" s="83">
        <f>SUMIFS(Dataset!$AA:$AA,Dataset!$F:$F,credito!$D$11,Dataset!$AC:$AC,R$90,Dataset!$J:$J,"&lt;"&amp;$D102,Dataset!$J:$J,"&gt;="&amp;$C102)</f>
        <v>-5.8451633318372821E-4</v>
      </c>
      <c r="S102" s="83">
        <f>SUMIFS(Dataset!$AA:$AA,Dataset!$F:$F,credito!$D$11,Dataset!$AC:$AC,"A",Dataset!$J:$J,"&lt;"&amp;$D102,Dataset!$J:$J,"&gt;="&amp;$C102)+SUMIFS(Dataset!$AA:$AA,Dataset!$F:$F,credito!$D$11,Dataset!$AC:$AC,"A-",Dataset!$J:$J,"&lt;"&amp;$D102,Dataset!$J:$J,"&gt;="&amp;$C102)+SUMIFS(Dataset!$AA:$AA,Dataset!$F:$F,credito!$D$11,Dataset!$AC:$AC,"A+",Dataset!$J:$J,"&lt;"&amp;$D102,Dataset!$J:$J,"&gt;="&amp;$C102)</f>
        <v>-9.2682488631220944E-3</v>
      </c>
      <c r="T102" s="83">
        <f>SUMIFS(Dataset!$AA:$AA,Dataset!$F:$F,credito!$D$11,Dataset!$AC:$AC,"BBB-",Dataset!$J:$J,"&lt;"&amp;$D102,Dataset!$J:$J,"&gt;="&amp;$C102)+SUMIFS(Dataset!$AA:$AA,Dataset!$F:$F,credito!$D$11,Dataset!$AC:$AC,"BBB",Dataset!$J:$J,"&lt;"&amp;$D102,Dataset!$J:$J,"&gt;="&amp;$C102)+SUMIFS(Dataset!$AA:$AA,Dataset!$F:$F,credito!$D$11,Dataset!$AC:$AC,"BBB+",Dataset!$J:$J,"&lt;"&amp;$D102,Dataset!$J:$J,"&gt;="&amp;$C102)</f>
        <v>0</v>
      </c>
      <c r="U102" s="83">
        <f>SUMIFS(Dataset!$AA:$AA,Dataset!$F:$F,credito!$D$11,Dataset!$J:$J,"&lt;"&amp;$D102,Dataset!$J:$J,"&gt;="&amp;$C102,Dataset!$AC:$AC,"&lt;&gt;N-1+",Dataset!$AC:$AC,"&lt;&gt;*AA*",Dataset!$AC:$AC,"&lt;&gt;*AAA*",Dataset!$AC:$AC,"&lt;&gt;A",Dataset!$AC:$AC,"&lt;&gt;A-",Dataset!$AC:$AC,"&lt;&gt;A+",Dataset!$AC:$AC,"&lt;&gt;*BBB*")</f>
        <v>0</v>
      </c>
      <c r="V102" s="84">
        <f t="shared" si="14"/>
        <v>-9.8527651963058217E-3</v>
      </c>
    </row>
    <row r="103" spans="2:35" ht="27" customHeight="1" x14ac:dyDescent="0.3">
      <c r="C103" s="61">
        <v>11.5</v>
      </c>
      <c r="D103" s="81">
        <v>12.5</v>
      </c>
      <c r="E103" s="82">
        <f>SUMIFS(Dataset!$AJ:$AJ,Dataset!$F:$F,credito!$D$11,Dataset!$AC:$AC,E$90,Dataset!$J:$J,"&lt;"&amp;$D103,Dataset!$J:$J,"&gt;="&amp;$C103)</f>
        <v>0</v>
      </c>
      <c r="F103" s="83">
        <f>SUMIFS(Dataset!$AJ:$AJ,Dataset!$F:$F,credito!$D$11,Dataset!$AC:$AC,F$90,Dataset!$J:$J,"&lt;"&amp;$D103,Dataset!$J:$J,"&gt;="&amp;$C103)</f>
        <v>0</v>
      </c>
      <c r="G103" s="83">
        <f>SUMIFS(Dataset!$AJ:$AJ,Dataset!$F:$F,credito!$D$11,Dataset!$AC:$AC,G$90,Dataset!$J:$J,"&lt;"&amp;$D103,Dataset!$J:$J,"&gt;="&amp;$C103)</f>
        <v>0</v>
      </c>
      <c r="H103" s="83">
        <f>SUMIFS(Dataset!$AJ:$AJ,Dataset!$F:$F,credito!$D$11,Dataset!$AC:$AC,H$90,Dataset!$J:$J,"&lt;"&amp;$D103,Dataset!$J:$J,"&gt;="&amp;$C103)</f>
        <v>0</v>
      </c>
      <c r="I103" s="83">
        <f>SUMIFS(Dataset!$AJ:$AJ,Dataset!$F:$F,credito!$D$11,Dataset!$AC:$AC,I$90,Dataset!$J:$J,"&lt;"&amp;$D103,Dataset!$J:$J,"&gt;="&amp;$C103)</f>
        <v>1.7458627920599375E-2</v>
      </c>
      <c r="J103" s="83">
        <f>SUMIFS(Dataset!$AJ:$AJ,Dataset!$F:$F,credito!$D$11,Dataset!$AC:$AC,"A",Dataset!$J:$J,"&lt;"&amp;$D103,Dataset!$J:$J,"&gt;="&amp;$C103)+SUMIFS(Dataset!$AJ:$AJ,Dataset!$F:$F,credito!$D$11,Dataset!$AC:$AC,"A-",Dataset!$J:$J,"&lt;"&amp;$D103,Dataset!$J:$J,"&gt;="&amp;$C103)+SUMIFS(Dataset!$AJ:$AJ,Dataset!$F:$F,credito!$D$11,Dataset!$AC:$AC,"A+",Dataset!$J:$J,"&lt;"&amp;$D103,Dataset!$J:$J,"&gt;="&amp;$C103)</f>
        <v>-4.5494617664570434E-2</v>
      </c>
      <c r="K103" s="83">
        <f>SUMIFS(Dataset!$AJ:$AJ,Dataset!$F:$F,credito!$D$11,Dataset!$AC:$AC,"BBB-",Dataset!$J:$J,"&lt;"&amp;$D103,Dataset!$J:$J,"&gt;="&amp;$C103)+SUMIFS(Dataset!$AJ:$AJ,Dataset!$F:$F,credito!$D$11,Dataset!$AC:$AC,"BBB",Dataset!$J:$J,"&lt;"&amp;$D103,Dataset!$J:$J,"&gt;="&amp;$C103)+SUMIFS(Dataset!$AJ:$AJ,Dataset!$F:$F,credito!$D$11,Dataset!$AC:$AC,"BBB+",Dataset!$J:$J,"&lt;"&amp;$D103,Dataset!$J:$J,"&gt;="&amp;$C103)</f>
        <v>0</v>
      </c>
      <c r="L103" s="83">
        <f>SUMIFS(Dataset!$AJ:$AJ,Dataset!$F:$F,credito!$D$11,Dataset!$J:$J,"&lt;"&amp;$D103,Dataset!$J:$J,"&gt;="&amp;$C103,Dataset!$AC:$AC,"&lt;&gt;N-1+",Dataset!$AC:$AC,"&lt;&gt;*AA*",Dataset!$AC:$AC,"&lt;&gt;*AAA*",Dataset!$AC:$AC,"&lt;&gt;A",Dataset!$AC:$AC,"&lt;&gt;A-",Dataset!$AC:$AC,"&lt;&gt;A+",Dataset!$AC:$AC,"&lt;&gt;*BBB*")</f>
        <v>0</v>
      </c>
      <c r="M103" s="84">
        <f t="shared" si="13"/>
        <v>-2.8035989743971059E-2</v>
      </c>
      <c r="N103" s="82">
        <f>SUMIFS(Dataset!$AA:$AA,Dataset!$F:$F,credito!$D$11,Dataset!$AC:$AC,N$90,Dataset!$J:$J,"&lt;"&amp;$D103,Dataset!$J:$J,"&gt;="&amp;$C103)</f>
        <v>0</v>
      </c>
      <c r="O103" s="83">
        <f>SUMIFS(Dataset!$AA:$AA,Dataset!$F:$F,credito!$D$11,Dataset!$AC:$AC,O$90,Dataset!$J:$J,"&lt;"&amp;$D103,Dataset!$J:$J,"&gt;="&amp;$C103)</f>
        <v>0</v>
      </c>
      <c r="P103" s="83">
        <f>SUMIFS(Dataset!$AA:$AA,Dataset!$F:$F,credito!$D$11,Dataset!$AC:$AC,P$90,Dataset!$J:$J,"&lt;"&amp;$D103,Dataset!$J:$J,"&gt;="&amp;$C103)</f>
        <v>0</v>
      </c>
      <c r="Q103" s="83">
        <f>SUMIFS(Dataset!$AA:$AA,Dataset!$F:$F,credito!$D$11,Dataset!$AC:$AC,Q$90,Dataset!$J:$J,"&lt;"&amp;$D103,Dataset!$J:$J,"&gt;="&amp;$C103)</f>
        <v>0</v>
      </c>
      <c r="R103" s="83">
        <f>SUMIFS(Dataset!$AA:$AA,Dataset!$F:$F,credito!$D$11,Dataset!$AC:$AC,R$90,Dataset!$J:$J,"&lt;"&amp;$D103,Dataset!$J:$J,"&gt;="&amp;$C103)</f>
        <v>-2.1357715847337439E-3</v>
      </c>
      <c r="S103" s="83">
        <f>SUMIFS(Dataset!$AA:$AA,Dataset!$F:$F,credito!$D$11,Dataset!$AC:$AC,"A",Dataset!$J:$J,"&lt;"&amp;$D103,Dataset!$J:$J,"&gt;="&amp;$C103)+SUMIFS(Dataset!$AA:$AA,Dataset!$F:$F,credito!$D$11,Dataset!$AC:$AC,"A-",Dataset!$J:$J,"&lt;"&amp;$D103,Dataset!$J:$J,"&gt;="&amp;$C103)+SUMIFS(Dataset!$AA:$AA,Dataset!$F:$F,credito!$D$11,Dataset!$AC:$AC,"A+",Dataset!$J:$J,"&lt;"&amp;$D103,Dataset!$J:$J,"&gt;="&amp;$C103)</f>
        <v>0.10024547550250944</v>
      </c>
      <c r="T103" s="83">
        <f>SUMIFS(Dataset!$AA:$AA,Dataset!$F:$F,credito!$D$11,Dataset!$AC:$AC,"BBB-",Dataset!$J:$J,"&lt;"&amp;$D103,Dataset!$J:$J,"&gt;="&amp;$C103)+SUMIFS(Dataset!$AA:$AA,Dataset!$F:$F,credito!$D$11,Dataset!$AC:$AC,"BBB",Dataset!$J:$J,"&lt;"&amp;$D103,Dataset!$J:$J,"&gt;="&amp;$C103)+SUMIFS(Dataset!$AA:$AA,Dataset!$F:$F,credito!$D$11,Dataset!$AC:$AC,"BBB+",Dataset!$J:$J,"&lt;"&amp;$D103,Dataset!$J:$J,"&gt;="&amp;$C103)</f>
        <v>0</v>
      </c>
      <c r="U103" s="83">
        <f>SUMIFS(Dataset!$AA:$AA,Dataset!$F:$F,credito!$D$11,Dataset!$J:$J,"&lt;"&amp;$D103,Dataset!$J:$J,"&gt;="&amp;$C103,Dataset!$AC:$AC,"&lt;&gt;N-1+",Dataset!$AC:$AC,"&lt;&gt;*AA*",Dataset!$AC:$AC,"&lt;&gt;*AAA*",Dataset!$AC:$AC,"&lt;&gt;A",Dataset!$AC:$AC,"&lt;&gt;A-",Dataset!$AC:$AC,"&lt;&gt;A+",Dataset!$AC:$AC,"&lt;&gt;*BBB*")</f>
        <v>0</v>
      </c>
      <c r="V103" s="84">
        <f t="shared" si="14"/>
        <v>9.8109703917775695E-2</v>
      </c>
    </row>
    <row r="104" spans="2:35" ht="27" customHeight="1" x14ac:dyDescent="0.3">
      <c r="C104" s="61">
        <v>12.5</v>
      </c>
      <c r="D104" s="81">
        <v>13.5</v>
      </c>
      <c r="E104" s="82">
        <f>SUMIFS(Dataset!$AJ:$AJ,Dataset!$F:$F,credito!$D$11,Dataset!$AC:$AC,E$90,Dataset!$J:$J,"&lt;"&amp;$D104,Dataset!$J:$J,"&gt;="&amp;$C104)</f>
        <v>0</v>
      </c>
      <c r="F104" s="83">
        <f>SUMIFS(Dataset!$AJ:$AJ,Dataset!$F:$F,credito!$D$11,Dataset!$AC:$AC,F$90,Dataset!$J:$J,"&lt;"&amp;$D104,Dataset!$J:$J,"&gt;="&amp;$C104)</f>
        <v>0</v>
      </c>
      <c r="G104" s="83">
        <f>SUMIFS(Dataset!$AJ:$AJ,Dataset!$F:$F,credito!$D$11,Dataset!$AC:$AC,G$90,Dataset!$J:$J,"&lt;"&amp;$D104,Dataset!$J:$J,"&gt;="&amp;$C104)</f>
        <v>0</v>
      </c>
      <c r="H104" s="83">
        <f>SUMIFS(Dataset!$AJ:$AJ,Dataset!$F:$F,credito!$D$11,Dataset!$AC:$AC,H$90,Dataset!$J:$J,"&lt;"&amp;$D104,Dataset!$J:$J,"&gt;="&amp;$C104)</f>
        <v>0</v>
      </c>
      <c r="I104" s="83">
        <f>SUMIFS(Dataset!$AJ:$AJ,Dataset!$F:$F,credito!$D$11,Dataset!$AC:$AC,I$90,Dataset!$J:$J,"&lt;"&amp;$D104,Dataset!$J:$J,"&gt;="&amp;$C104)</f>
        <v>8.4588082303080833E-3</v>
      </c>
      <c r="J104" s="83">
        <f>SUMIFS(Dataset!$AJ:$AJ,Dataset!$F:$F,credito!$D$11,Dataset!$AC:$AC,"A",Dataset!$J:$J,"&lt;"&amp;$D104,Dataset!$J:$J,"&gt;="&amp;$C104)+SUMIFS(Dataset!$AJ:$AJ,Dataset!$F:$F,credito!$D$11,Dataset!$AC:$AC,"A-",Dataset!$J:$J,"&lt;"&amp;$D104,Dataset!$J:$J,"&gt;="&amp;$C104)+SUMIFS(Dataset!$AJ:$AJ,Dataset!$F:$F,credito!$D$11,Dataset!$AC:$AC,"A+",Dataset!$J:$J,"&lt;"&amp;$D104,Dataset!$J:$J,"&gt;="&amp;$C104)</f>
        <v>1.4397994315073165E-2</v>
      </c>
      <c r="K104" s="83">
        <f>SUMIFS(Dataset!$AJ:$AJ,Dataset!$F:$F,credito!$D$11,Dataset!$AC:$AC,"BBB-",Dataset!$J:$J,"&lt;"&amp;$D104,Dataset!$J:$J,"&gt;="&amp;$C104)+SUMIFS(Dataset!$AJ:$AJ,Dataset!$F:$F,credito!$D$11,Dataset!$AC:$AC,"BBB",Dataset!$J:$J,"&lt;"&amp;$D104,Dataset!$J:$J,"&gt;="&amp;$C104)+SUMIFS(Dataset!$AJ:$AJ,Dataset!$F:$F,credito!$D$11,Dataset!$AC:$AC,"BBB+",Dataset!$J:$J,"&lt;"&amp;$D104,Dataset!$J:$J,"&gt;="&amp;$C104)</f>
        <v>0</v>
      </c>
      <c r="L104" s="83">
        <f>SUMIFS(Dataset!$AJ:$AJ,Dataset!$F:$F,credito!$D$11,Dataset!$J:$J,"&lt;"&amp;$D104,Dataset!$J:$J,"&gt;="&amp;$C104,Dataset!$AC:$AC,"&lt;&gt;N-1+",Dataset!$AC:$AC,"&lt;&gt;*AA*",Dataset!$AC:$AC,"&lt;&gt;*AAA*",Dataset!$AC:$AC,"&lt;&gt;A",Dataset!$AC:$AC,"&lt;&gt;A-",Dataset!$AC:$AC,"&lt;&gt;A+",Dataset!$AC:$AC,"&lt;&gt;*BBB*")</f>
        <v>0</v>
      </c>
      <c r="M104" s="84">
        <f t="shared" si="13"/>
        <v>2.285680254538125E-2</v>
      </c>
      <c r="N104" s="82">
        <f>SUMIFS(Dataset!$AA:$AA,Dataset!$F:$F,credito!$D$11,Dataset!$AC:$AC,N$90,Dataset!$J:$J,"&lt;"&amp;$D104,Dataset!$J:$J,"&gt;="&amp;$C104)</f>
        <v>0</v>
      </c>
      <c r="O104" s="83">
        <f>SUMIFS(Dataset!$AA:$AA,Dataset!$F:$F,credito!$D$11,Dataset!$AC:$AC,O$90,Dataset!$J:$J,"&lt;"&amp;$D104,Dataset!$J:$J,"&gt;="&amp;$C104)</f>
        <v>0</v>
      </c>
      <c r="P104" s="83">
        <f>SUMIFS(Dataset!$AA:$AA,Dataset!$F:$F,credito!$D$11,Dataset!$AC:$AC,P$90,Dataset!$J:$J,"&lt;"&amp;$D104,Dataset!$J:$J,"&gt;="&amp;$C104)</f>
        <v>0</v>
      </c>
      <c r="Q104" s="83">
        <f>SUMIFS(Dataset!$AA:$AA,Dataset!$F:$F,credito!$D$11,Dataset!$AC:$AC,Q$90,Dataset!$J:$J,"&lt;"&amp;$D104,Dataset!$J:$J,"&gt;="&amp;$C104)</f>
        <v>0</v>
      </c>
      <c r="R104" s="83">
        <f>SUMIFS(Dataset!$AA:$AA,Dataset!$F:$F,credito!$D$11,Dataset!$AC:$AC,R$90,Dataset!$J:$J,"&lt;"&amp;$D104,Dataset!$J:$J,"&gt;="&amp;$C104)</f>
        <v>-1.0347939334733069E-3</v>
      </c>
      <c r="S104" s="83">
        <f>SUMIFS(Dataset!$AA:$AA,Dataset!$F:$F,credito!$D$11,Dataset!$AC:$AC,"A",Dataset!$J:$J,"&lt;"&amp;$D104,Dataset!$J:$J,"&gt;="&amp;$C104)+SUMIFS(Dataset!$AA:$AA,Dataset!$F:$F,credito!$D$11,Dataset!$AC:$AC,"A-",Dataset!$J:$J,"&lt;"&amp;$D104,Dataset!$J:$J,"&gt;="&amp;$C104)+SUMIFS(Dataset!$AA:$AA,Dataset!$F:$F,credito!$D$11,Dataset!$AC:$AC,"A+",Dataset!$J:$J,"&lt;"&amp;$D104,Dataset!$J:$J,"&gt;="&amp;$C104)</f>
        <v>-3.172537457152768E-2</v>
      </c>
      <c r="T104" s="83">
        <f>SUMIFS(Dataset!$AA:$AA,Dataset!$F:$F,credito!$D$11,Dataset!$AC:$AC,"BBB-",Dataset!$J:$J,"&lt;"&amp;$D104,Dataset!$J:$J,"&gt;="&amp;$C104)+SUMIFS(Dataset!$AA:$AA,Dataset!$F:$F,credito!$D$11,Dataset!$AC:$AC,"BBB",Dataset!$J:$J,"&lt;"&amp;$D104,Dataset!$J:$J,"&gt;="&amp;$C104)+SUMIFS(Dataset!$AA:$AA,Dataset!$F:$F,credito!$D$11,Dataset!$AC:$AC,"BBB+",Dataset!$J:$J,"&lt;"&amp;$D104,Dataset!$J:$J,"&gt;="&amp;$C104)</f>
        <v>0</v>
      </c>
      <c r="U104" s="83">
        <f>SUMIFS(Dataset!$AA:$AA,Dataset!$F:$F,credito!$D$11,Dataset!$J:$J,"&lt;"&amp;$D104,Dataset!$J:$J,"&gt;="&amp;$C104,Dataset!$AC:$AC,"&lt;&gt;N-1+",Dataset!$AC:$AC,"&lt;&gt;*AA*",Dataset!$AC:$AC,"&lt;&gt;*AAA*",Dataset!$AC:$AC,"&lt;&gt;A",Dataset!$AC:$AC,"&lt;&gt;A-",Dataset!$AC:$AC,"&lt;&gt;A+",Dataset!$AC:$AC,"&lt;&gt;*BBB*")</f>
        <v>0</v>
      </c>
      <c r="V104" s="84">
        <f t="shared" si="14"/>
        <v>-3.2760168505000985E-2</v>
      </c>
    </row>
    <row r="105" spans="2:35" ht="27" customHeight="1" x14ac:dyDescent="0.3">
      <c r="C105" s="61">
        <v>13.5</v>
      </c>
      <c r="D105" s="81">
        <v>14.5</v>
      </c>
      <c r="E105" s="82">
        <f>SUMIFS(Dataset!$AJ:$AJ,Dataset!$F:$F,credito!$D$11,Dataset!$AC:$AC,E$90,Dataset!$J:$J,"&lt;"&amp;$D105,Dataset!$J:$J,"&gt;="&amp;$C105)</f>
        <v>0</v>
      </c>
      <c r="F105" s="83">
        <f>SUMIFS(Dataset!$AJ:$AJ,Dataset!$F:$F,credito!$D$11,Dataset!$AC:$AC,F$90,Dataset!$J:$J,"&lt;"&amp;$D105,Dataset!$J:$J,"&gt;="&amp;$C105)</f>
        <v>0</v>
      </c>
      <c r="G105" s="83">
        <f>SUMIFS(Dataset!$AJ:$AJ,Dataset!$F:$F,credito!$D$11,Dataset!$AC:$AC,G$90,Dataset!$J:$J,"&lt;"&amp;$D105,Dataset!$J:$J,"&gt;="&amp;$C105)</f>
        <v>0</v>
      </c>
      <c r="H105" s="83">
        <f>SUMIFS(Dataset!$AJ:$AJ,Dataset!$F:$F,credito!$D$11,Dataset!$AC:$AC,H$90,Dataset!$J:$J,"&lt;"&amp;$D105,Dataset!$J:$J,"&gt;="&amp;$C105)</f>
        <v>0</v>
      </c>
      <c r="I105" s="83">
        <f>SUMIFS(Dataset!$AJ:$AJ,Dataset!$F:$F,credito!$D$11,Dataset!$AC:$AC,I$90,Dataset!$J:$J,"&lt;"&amp;$D105,Dataset!$J:$J,"&gt;="&amp;$C105)</f>
        <v>0</v>
      </c>
      <c r="J105" s="83">
        <f>SUMIFS(Dataset!$AJ:$AJ,Dataset!$F:$F,credito!$D$11,Dataset!$AC:$AC,"A",Dataset!$J:$J,"&lt;"&amp;$D105,Dataset!$J:$J,"&gt;="&amp;$C105)+SUMIFS(Dataset!$AJ:$AJ,Dataset!$F:$F,credito!$D$11,Dataset!$AC:$AC,"A-",Dataset!$J:$J,"&lt;"&amp;$D105,Dataset!$J:$J,"&gt;="&amp;$C105)+SUMIFS(Dataset!$AJ:$AJ,Dataset!$F:$F,credito!$D$11,Dataset!$AC:$AC,"A+",Dataset!$J:$J,"&lt;"&amp;$D105,Dataset!$J:$J,"&gt;="&amp;$C105)</f>
        <v>-1.4186992579613001E-2</v>
      </c>
      <c r="K105" s="83">
        <f>SUMIFS(Dataset!$AJ:$AJ,Dataset!$F:$F,credito!$D$11,Dataset!$AC:$AC,"BBB-",Dataset!$J:$J,"&lt;"&amp;$D105,Dataset!$J:$J,"&gt;="&amp;$C105)+SUMIFS(Dataset!$AJ:$AJ,Dataset!$F:$F,credito!$D$11,Dataset!$AC:$AC,"BBB",Dataset!$J:$J,"&lt;"&amp;$D105,Dataset!$J:$J,"&gt;="&amp;$C105)+SUMIFS(Dataset!$AJ:$AJ,Dataset!$F:$F,credito!$D$11,Dataset!$AC:$AC,"BBB+",Dataset!$J:$J,"&lt;"&amp;$D105,Dataset!$J:$J,"&gt;="&amp;$C105)</f>
        <v>0</v>
      </c>
      <c r="L105" s="83">
        <f>SUMIFS(Dataset!$AJ:$AJ,Dataset!$F:$F,credito!$D$11,Dataset!$J:$J,"&lt;"&amp;$D105,Dataset!$J:$J,"&gt;="&amp;$C105,Dataset!$AC:$AC,"&lt;&gt;N-1+",Dataset!$AC:$AC,"&lt;&gt;*AA*",Dataset!$AC:$AC,"&lt;&gt;*AAA*",Dataset!$AC:$AC,"&lt;&gt;A",Dataset!$AC:$AC,"&lt;&gt;A-",Dataset!$AC:$AC,"&lt;&gt;A+",Dataset!$AC:$AC,"&lt;&gt;*BBB*")</f>
        <v>0</v>
      </c>
      <c r="M105" s="84">
        <f t="shared" si="13"/>
        <v>-1.4186992579613001E-2</v>
      </c>
      <c r="N105" s="82">
        <f>SUMIFS(Dataset!$AA:$AA,Dataset!$F:$F,credito!$D$11,Dataset!$AC:$AC,N$90,Dataset!$J:$J,"&lt;"&amp;$D105,Dataset!$J:$J,"&gt;="&amp;$C105)</f>
        <v>0</v>
      </c>
      <c r="O105" s="83">
        <f>SUMIFS(Dataset!$AA:$AA,Dataset!$F:$F,credito!$D$11,Dataset!$AC:$AC,O$90,Dataset!$J:$J,"&lt;"&amp;$D105,Dataset!$J:$J,"&gt;="&amp;$C105)</f>
        <v>0</v>
      </c>
      <c r="P105" s="83">
        <f>SUMIFS(Dataset!$AA:$AA,Dataset!$F:$F,credito!$D$11,Dataset!$AC:$AC,P$90,Dataset!$J:$J,"&lt;"&amp;$D105,Dataset!$J:$J,"&gt;="&amp;$C105)</f>
        <v>0</v>
      </c>
      <c r="Q105" s="83">
        <f>SUMIFS(Dataset!$AA:$AA,Dataset!$F:$F,credito!$D$11,Dataset!$AC:$AC,Q$90,Dataset!$J:$J,"&lt;"&amp;$D105,Dataset!$J:$J,"&gt;="&amp;$C105)</f>
        <v>0</v>
      </c>
      <c r="R105" s="83">
        <f>SUMIFS(Dataset!$AA:$AA,Dataset!$F:$F,credito!$D$11,Dataset!$AC:$AC,R$90,Dataset!$J:$J,"&lt;"&amp;$D105,Dataset!$J:$J,"&gt;="&amp;$C105)</f>
        <v>0</v>
      </c>
      <c r="S105" s="83">
        <f>SUMIFS(Dataset!$AA:$AA,Dataset!$F:$F,credito!$D$11,Dataset!$AC:$AC,"A",Dataset!$J:$J,"&lt;"&amp;$D105,Dataset!$J:$J,"&gt;="&amp;$C105)+SUMIFS(Dataset!$AA:$AA,Dataset!$F:$F,credito!$D$11,Dataset!$AC:$AC,"A-",Dataset!$J:$J,"&lt;"&amp;$D105,Dataset!$J:$J,"&gt;="&amp;$C105)+SUMIFS(Dataset!$AA:$AA,Dataset!$F:$F,credito!$D$11,Dataset!$AC:$AC,"A+",Dataset!$J:$J,"&lt;"&amp;$D105,Dataset!$J:$J,"&gt;="&amp;$C105)</f>
        <v>3.1260441126894488E-2</v>
      </c>
      <c r="T105" s="83">
        <f>SUMIFS(Dataset!$AA:$AA,Dataset!$F:$F,credito!$D$11,Dataset!$AC:$AC,"BBB-",Dataset!$J:$J,"&lt;"&amp;$D105,Dataset!$J:$J,"&gt;="&amp;$C105)+SUMIFS(Dataset!$AA:$AA,Dataset!$F:$F,credito!$D$11,Dataset!$AC:$AC,"BBB",Dataset!$J:$J,"&lt;"&amp;$D105,Dataset!$J:$J,"&gt;="&amp;$C105)+SUMIFS(Dataset!$AA:$AA,Dataset!$F:$F,credito!$D$11,Dataset!$AC:$AC,"BBB+",Dataset!$J:$J,"&lt;"&amp;$D105,Dataset!$J:$J,"&gt;="&amp;$C105)</f>
        <v>0</v>
      </c>
      <c r="U105" s="83">
        <f>SUMIFS(Dataset!$AA:$AA,Dataset!$F:$F,credito!$D$11,Dataset!$J:$J,"&lt;"&amp;$D105,Dataset!$J:$J,"&gt;="&amp;$C105,Dataset!$AC:$AC,"&lt;&gt;N-1+",Dataset!$AC:$AC,"&lt;&gt;*AA*",Dataset!$AC:$AC,"&lt;&gt;*AAA*",Dataset!$AC:$AC,"&lt;&gt;A",Dataset!$AC:$AC,"&lt;&gt;A-",Dataset!$AC:$AC,"&lt;&gt;A+",Dataset!$AC:$AC,"&lt;&gt;*BBB*")</f>
        <v>0</v>
      </c>
      <c r="V105" s="84">
        <f t="shared" si="14"/>
        <v>3.1260441126894488E-2</v>
      </c>
    </row>
    <row r="106" spans="2:35" ht="27" customHeight="1" x14ac:dyDescent="0.3">
      <c r="C106" s="61">
        <v>14.5</v>
      </c>
      <c r="D106" s="81">
        <v>100</v>
      </c>
      <c r="E106" s="88">
        <f>SUMIFS(Dataset!$AJ:$AJ,Dataset!$F:$F,credito!$D$11,Dataset!$AC:$AC,E$90,Dataset!$J:$J,"&lt;"&amp;$D106,Dataset!$J:$J,"&gt;="&amp;$C106)</f>
        <v>0</v>
      </c>
      <c r="F106" s="89">
        <f>SUMIFS(Dataset!$AJ:$AJ,Dataset!$F:$F,credito!$D$11,Dataset!$AC:$AC,F$90,Dataset!$J:$J,"&lt;"&amp;$D106,Dataset!$J:$J,"&gt;="&amp;$C106)</f>
        <v>0</v>
      </c>
      <c r="G106" s="89">
        <f>SUMIFS(Dataset!$AJ:$AJ,Dataset!$F:$F,credito!$D$11,Dataset!$AC:$AC,G$90,Dataset!$J:$J,"&lt;"&amp;$D106,Dataset!$J:$J,"&gt;="&amp;$C106)</f>
        <v>0</v>
      </c>
      <c r="H106" s="89">
        <f>SUMIFS(Dataset!$AJ:$AJ,Dataset!$F:$F,credito!$D$11,Dataset!$AC:$AC,H$90,Dataset!$J:$J,"&lt;"&amp;$D106,Dataset!$J:$J,"&gt;="&amp;$C106)</f>
        <v>0</v>
      </c>
      <c r="I106" s="89">
        <f>SUMIFS(Dataset!$AJ:$AJ,Dataset!$F:$F,credito!$D$11,Dataset!$AC:$AC,I$90,Dataset!$J:$J,"&lt;"&amp;$D106,Dataset!$J:$J,"&gt;="&amp;$C106)</f>
        <v>0</v>
      </c>
      <c r="J106" s="89">
        <f>SUMIFS(Dataset!$AJ:$AJ,Dataset!$F:$F,credito!$D$11,Dataset!$AC:$AC,"A",Dataset!$J:$J,"&lt;"&amp;$D106,Dataset!$J:$J,"&gt;="&amp;$C106)+SUMIFS(Dataset!$AJ:$AJ,Dataset!$F:$F,credito!$D$11,Dataset!$AC:$AC,"A-",Dataset!$J:$J,"&lt;"&amp;$D106,Dataset!$J:$J,"&gt;="&amp;$C106)+SUMIFS(Dataset!$AJ:$AJ,Dataset!$F:$F,credito!$D$11,Dataset!$AC:$AC,"A+",Dataset!$J:$J,"&lt;"&amp;$D106,Dataset!$J:$J,"&gt;="&amp;$C106)</f>
        <v>-1.0419121429893438E-2</v>
      </c>
      <c r="K106" s="89">
        <f>SUMIFS(Dataset!$AJ:$AJ,Dataset!$F:$F,credito!$D$11,Dataset!$AC:$AC,"BBB-",Dataset!$J:$J,"&lt;"&amp;$D106,Dataset!$J:$J,"&gt;="&amp;$C106)+SUMIFS(Dataset!$AJ:$AJ,Dataset!$F:$F,credito!$D$11,Dataset!$AC:$AC,"BBB",Dataset!$J:$J,"&lt;"&amp;$D106,Dataset!$J:$J,"&gt;="&amp;$C106)+SUMIFS(Dataset!$AJ:$AJ,Dataset!$F:$F,credito!$D$11,Dataset!$AC:$AC,"BBB+",Dataset!$J:$J,"&lt;"&amp;$D106,Dataset!$J:$J,"&gt;="&amp;$C106)</f>
        <v>-6.7892091346687992E-5</v>
      </c>
      <c r="L106" s="89">
        <f>SUMIFS(Dataset!$AJ:$AJ,Dataset!$F:$F,credito!$D$11,Dataset!$J:$J,"&lt;"&amp;$D106,Dataset!$J:$J,"&gt;="&amp;$C106,Dataset!$AC:$AC,"&lt;&gt;N-1+",Dataset!$AC:$AC,"&lt;&gt;*AA*",Dataset!$AC:$AC,"&lt;&gt;*AAA*",Dataset!$AC:$AC,"&lt;&gt;A",Dataset!$AC:$AC,"&lt;&gt;A-",Dataset!$AC:$AC,"&lt;&gt;A+",Dataset!$AC:$AC,"&lt;&gt;*BBB*")</f>
        <v>0</v>
      </c>
      <c r="M106" s="90">
        <f t="shared" si="13"/>
        <v>-1.0487013521240127E-2</v>
      </c>
      <c r="N106" s="88">
        <f>SUMIFS(Dataset!$AA:$AA,Dataset!$F:$F,credito!$D$11,Dataset!$AC:$AC,N$90,Dataset!$J:$J,"&lt;"&amp;$D106,Dataset!$J:$J,"&gt;="&amp;$C106)</f>
        <v>0</v>
      </c>
      <c r="O106" s="89">
        <f>SUMIFS(Dataset!$AA:$AA,Dataset!$F:$F,credito!$D$11,Dataset!$AC:$AC,O$90,Dataset!$J:$J,"&lt;"&amp;$D106,Dataset!$J:$J,"&gt;="&amp;$C106)</f>
        <v>0</v>
      </c>
      <c r="P106" s="89">
        <f>SUMIFS(Dataset!$AA:$AA,Dataset!$F:$F,credito!$D$11,Dataset!$AC:$AC,P$90,Dataset!$J:$J,"&lt;"&amp;$D106,Dataset!$J:$J,"&gt;="&amp;$C106)</f>
        <v>0</v>
      </c>
      <c r="Q106" s="89">
        <f>SUMIFS(Dataset!$AA:$AA,Dataset!$F:$F,credito!$D$11,Dataset!$AC:$AC,Q$90,Dataset!$J:$J,"&lt;"&amp;$D106,Dataset!$J:$J,"&gt;="&amp;$C106)</f>
        <v>0</v>
      </c>
      <c r="R106" s="89">
        <f>SUMIFS(Dataset!$AA:$AA,Dataset!$F:$F,credito!$D$11,Dataset!$AC:$AC,R$90,Dataset!$J:$J,"&lt;"&amp;$D106,Dataset!$J:$J,"&gt;="&amp;$C106)</f>
        <v>0</v>
      </c>
      <c r="S106" s="89">
        <f>SUMIFS(Dataset!$AA:$AA,Dataset!$F:$F,credito!$D$11,Dataset!$AC:$AC,"A",Dataset!$J:$J,"&lt;"&amp;$D106,Dataset!$J:$J,"&gt;="&amp;$C106)+SUMIFS(Dataset!$AA:$AA,Dataset!$F:$F,credito!$D$11,Dataset!$AC:$AC,"A-",Dataset!$J:$J,"&lt;"&amp;$D106,Dataset!$J:$J,"&gt;="&amp;$C106)+SUMIFS(Dataset!$AA:$AA,Dataset!$F:$F,credito!$D$11,Dataset!$AC:$AC,"A+",Dataset!$J:$J,"&lt;"&amp;$D106,Dataset!$J:$J,"&gt;="&amp;$C106)</f>
        <v>2.2958095609438411E-2</v>
      </c>
      <c r="T106" s="89">
        <f>SUMIFS(Dataset!$AA:$AA,Dataset!$F:$F,credito!$D$11,Dataset!$AC:$AC,"BBB-",Dataset!$J:$J,"&lt;"&amp;$D106,Dataset!$J:$J,"&gt;="&amp;$C106)+SUMIFS(Dataset!$AA:$AA,Dataset!$F:$F,credito!$D$11,Dataset!$AC:$AC,"BBB",Dataset!$J:$J,"&lt;"&amp;$D106,Dataset!$J:$J,"&gt;="&amp;$C106)+SUMIFS(Dataset!$AA:$AA,Dataset!$F:$F,credito!$D$11,Dataset!$AC:$AC,"BBB+",Dataset!$J:$J,"&lt;"&amp;$D106,Dataset!$J:$J,"&gt;="&amp;$C106)</f>
        <v>3.4794257452207142E-4</v>
      </c>
      <c r="U106" s="89">
        <f>SUMIFS(Dataset!$AA:$AA,Dataset!$F:$F,credito!$D$11,Dataset!$J:$J,"&lt;"&amp;$D106,Dataset!$J:$J,"&gt;="&amp;$C106,Dataset!$AC:$AC,"&lt;&gt;N-1+",Dataset!$AC:$AC,"&lt;&gt;*AA*",Dataset!$AC:$AC,"&lt;&gt;*AAA*",Dataset!$AC:$AC,"&lt;&gt;A",Dataset!$AC:$AC,"&lt;&gt;A-",Dataset!$AC:$AC,"&lt;&gt;A+",Dataset!$AC:$AC,"&lt;&gt;*BBB*")</f>
        <v>0</v>
      </c>
      <c r="V106" s="90">
        <f t="shared" si="14"/>
        <v>2.3306038183960483E-2</v>
      </c>
    </row>
    <row r="107" spans="2:35" ht="27" customHeight="1" x14ac:dyDescent="0.3">
      <c r="C107" s="179"/>
      <c r="D107" s="180"/>
      <c r="E107" s="83">
        <f>SUM(E91:E106)</f>
        <v>6.2350878329907556E-3</v>
      </c>
      <c r="F107" s="83">
        <f t="shared" ref="F107:L107" si="17">SUM(F91:F106)</f>
        <v>4.7139490359805095E-2</v>
      </c>
      <c r="G107" s="83">
        <f t="shared" si="17"/>
        <v>7.3572053201813106E-3</v>
      </c>
      <c r="H107" s="83">
        <f t="shared" si="17"/>
        <v>6.3007435928077379E-2</v>
      </c>
      <c r="I107" s="83">
        <f t="shared" si="17"/>
        <v>0.2448345592541476</v>
      </c>
      <c r="J107" s="83">
        <f t="shared" si="17"/>
        <v>-0.26523862409590682</v>
      </c>
      <c r="K107" s="83">
        <f t="shared" si="17"/>
        <v>-0.17589721167626024</v>
      </c>
      <c r="L107" s="83">
        <f t="shared" si="17"/>
        <v>4.8621987423838657E-2</v>
      </c>
      <c r="M107" s="84">
        <f t="shared" si="13"/>
        <v>-2.3940069653126263E-2</v>
      </c>
      <c r="N107" s="83">
        <f>SUM(N91:N106)</f>
        <v>-1.07358145506232E-3</v>
      </c>
      <c r="O107" s="83">
        <f t="shared" ref="O107:U107" si="18">SUM(O91:O106)</f>
        <v>-3.0252309500810117E-2</v>
      </c>
      <c r="P107" s="83">
        <f t="shared" si="18"/>
        <v>-2.737192073276573E-3</v>
      </c>
      <c r="Q107" s="83">
        <f t="shared" si="18"/>
        <v>-3.2379986921221857E-3</v>
      </c>
      <c r="R107" s="83">
        <f t="shared" si="18"/>
        <v>-1.3443133000298799E-2</v>
      </c>
      <c r="S107" s="83">
        <f t="shared" si="18"/>
        <v>0.58371827610962845</v>
      </c>
      <c r="T107" s="83">
        <f t="shared" si="18"/>
        <v>0.47610360562520854</v>
      </c>
      <c r="U107" s="83">
        <f t="shared" si="18"/>
        <v>-9.077667013266677E-3</v>
      </c>
      <c r="V107" s="84">
        <f>SUM(N107:U107)</f>
        <v>1.0000000000000004</v>
      </c>
    </row>
    <row r="109" spans="2:35" ht="44.25" customHeight="1" x14ac:dyDescent="0.3"/>
    <row r="117" ht="48" customHeight="1" x14ac:dyDescent="0.3"/>
    <row r="134" spans="3:35" ht="45" customHeight="1" x14ac:dyDescent="0.3"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108"/>
      <c r="AF134" s="108"/>
      <c r="AG134" s="108"/>
      <c r="AH134" s="108"/>
      <c r="AI134" s="108"/>
    </row>
    <row r="135" spans="3:35" ht="27" customHeight="1" x14ac:dyDescent="0.4">
      <c r="C135" s="107" t="s">
        <v>70</v>
      </c>
      <c r="D135" s="42"/>
      <c r="E135" s="42"/>
    </row>
  </sheetData>
  <mergeCells count="20">
    <mergeCell ref="AB70:AC70"/>
    <mergeCell ref="AB99:AC99"/>
    <mergeCell ref="C90:D90"/>
    <mergeCell ref="C107:D107"/>
    <mergeCell ref="C88:D88"/>
    <mergeCell ref="C71:D71"/>
    <mergeCell ref="E46:N46"/>
    <mergeCell ref="E69:N69"/>
    <mergeCell ref="P69:Y69"/>
    <mergeCell ref="Y46:AH46"/>
    <mergeCell ref="C3:AI3"/>
    <mergeCell ref="C4:AI4"/>
    <mergeCell ref="C48:D48"/>
    <mergeCell ref="O46:V46"/>
    <mergeCell ref="AB67:AI67"/>
    <mergeCell ref="C13:I13"/>
    <mergeCell ref="C36:H36"/>
    <mergeCell ref="K15:R15"/>
    <mergeCell ref="K29:R29"/>
    <mergeCell ref="C65:D65"/>
  </mergeCells>
  <conditionalFormatting sqref="E49:N64">
    <cfRule type="colorScale" priority="9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E72:N87">
    <cfRule type="colorScale" priority="8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P72:Y87">
    <cfRule type="colorScale" priority="7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Y49:AH64">
    <cfRule type="colorScale" priority="6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P49:W64">
    <cfRule type="colorScale" priority="5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AD71:AH98">
    <cfRule type="colorScale" priority="3">
      <colorScale>
        <cfvo type="min"/>
        <cfvo type="max"/>
        <color theme="0"/>
        <color theme="5" tint="0.59999389629810485"/>
      </colorScale>
    </cfRule>
  </conditionalFormatting>
  <conditionalFormatting sqref="E91:L106">
    <cfRule type="colorScale" priority="2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N91:U106">
    <cfRule type="colorScale" priority="1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printOptions horizontalCentered="1"/>
  <pageMargins left="0" right="0" top="0" bottom="0" header="0" footer="0"/>
  <pageSetup scale="1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-0.249977111117893"/>
    <pageSetUpPr fitToPage="1"/>
  </sheetPr>
  <dimension ref="B3:AH131"/>
  <sheetViews>
    <sheetView showGridLines="0" showZeros="0" topLeftCell="A8" zoomScale="25" zoomScaleNormal="25" workbookViewId="0">
      <selection activeCell="K132" sqref="K132"/>
    </sheetView>
  </sheetViews>
  <sheetFormatPr baseColWidth="10" defaultRowHeight="27" customHeight="1" x14ac:dyDescent="0.3"/>
  <cols>
    <col min="1" max="1" width="11" style="22" customWidth="1"/>
    <col min="2" max="2" width="9.75" style="22" customWidth="1"/>
    <col min="3" max="3" width="32.5" style="22" customWidth="1"/>
    <col min="4" max="4" width="23.125" style="22" customWidth="1"/>
    <col min="5" max="5" width="31" style="22" customWidth="1"/>
    <col min="6" max="6" width="31.125" style="22" customWidth="1"/>
    <col min="7" max="7" width="25.875" style="22" customWidth="1"/>
    <col min="8" max="8" width="33.5" style="22" customWidth="1"/>
    <col min="9" max="9" width="29.25" style="22" customWidth="1"/>
    <col min="10" max="10" width="28.125" style="22" customWidth="1"/>
    <col min="11" max="11" width="27.375" style="22" customWidth="1"/>
    <col min="12" max="12" width="65.75" style="22" customWidth="1"/>
    <col min="13" max="13" width="24.625" style="22" customWidth="1"/>
    <col min="14" max="14" width="28.75" style="22" customWidth="1"/>
    <col min="15" max="15" width="33.125" style="22" customWidth="1"/>
    <col min="16" max="16" width="35.375" style="22" customWidth="1"/>
    <col min="17" max="17" width="20.75" style="22" customWidth="1"/>
    <col min="18" max="18" width="19.875" style="22" customWidth="1"/>
    <col min="19" max="19" width="25.25" style="22" customWidth="1"/>
    <col min="20" max="20" width="29" style="22" customWidth="1"/>
    <col min="21" max="21" width="32.375" style="22" customWidth="1"/>
    <col min="22" max="22" width="28.75" style="22" customWidth="1"/>
    <col min="23" max="23" width="18.875" style="22" customWidth="1"/>
    <col min="24" max="24" width="21.125" style="22" customWidth="1"/>
    <col min="25" max="25" width="20.625" style="22" customWidth="1"/>
    <col min="26" max="26" width="26.125" style="22" customWidth="1"/>
    <col min="27" max="27" width="31.75" style="22" customWidth="1"/>
    <col min="28" max="28" width="38.5" style="22" customWidth="1"/>
    <col min="29" max="29" width="25.125" style="22" customWidth="1"/>
    <col min="30" max="30" width="20" style="22" customWidth="1"/>
    <col min="31" max="31" width="30.25" style="22" customWidth="1"/>
    <col min="32" max="32" width="18.625" style="22" customWidth="1"/>
    <col min="33" max="33" width="17" style="22" customWidth="1"/>
    <col min="34" max="34" width="19.5" style="22" customWidth="1"/>
    <col min="35" max="16384" width="11" style="22"/>
  </cols>
  <sheetData>
    <row r="3" spans="3:34" ht="81" customHeight="1" x14ac:dyDescent="0.3">
      <c r="C3" s="174" t="s">
        <v>220</v>
      </c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</row>
    <row r="4" spans="3:34" ht="66" customHeight="1" x14ac:dyDescent="0.3">
      <c r="C4" s="185" t="str">
        <f>TEXT(Historical!H2," mmmm dd, aaaa")</f>
        <v xml:space="preserve"> marzo 06, martes</v>
      </c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</row>
    <row r="5" spans="3:34" ht="18" customHeight="1" x14ac:dyDescent="0.3"/>
    <row r="6" spans="3:34" ht="18" customHeight="1" x14ac:dyDescent="0.3"/>
    <row r="7" spans="3:34" ht="18" customHeight="1" x14ac:dyDescent="0.3"/>
    <row r="8" spans="3:34" ht="18" customHeight="1" x14ac:dyDescent="0.3"/>
    <row r="9" spans="3:34" ht="18" customHeight="1" x14ac:dyDescent="0.3"/>
    <row r="10" spans="3:34" ht="27" customHeight="1" x14ac:dyDescent="0.3">
      <c r="F10" s="45"/>
    </row>
    <row r="11" spans="3:34" ht="52.5" customHeight="1" x14ac:dyDescent="0.8">
      <c r="D11" s="48" t="s">
        <v>147</v>
      </c>
      <c r="E11" s="49"/>
    </row>
    <row r="12" spans="3:34" ht="27" customHeight="1" x14ac:dyDescent="0.3">
      <c r="O12" s="50"/>
      <c r="P12" s="50"/>
      <c r="Q12" s="50"/>
      <c r="R12" s="50"/>
      <c r="S12" s="50"/>
      <c r="T12" s="50"/>
    </row>
    <row r="13" spans="3:34" ht="51" customHeight="1" x14ac:dyDescent="0.3">
      <c r="J13" s="50"/>
    </row>
    <row r="14" spans="3:34" ht="41.25" customHeight="1" x14ac:dyDescent="0.3">
      <c r="C14" s="176" t="s">
        <v>108</v>
      </c>
      <c r="D14" s="176"/>
      <c r="E14" s="176"/>
      <c r="F14" s="176"/>
      <c r="G14" s="176"/>
      <c r="H14" s="176"/>
      <c r="I14" s="176"/>
      <c r="K14" s="176" t="s">
        <v>223</v>
      </c>
      <c r="L14" s="176"/>
      <c r="M14" s="176"/>
      <c r="N14" s="176"/>
      <c r="O14" s="176"/>
      <c r="P14" s="176"/>
      <c r="Q14" s="176"/>
      <c r="R14" s="176"/>
    </row>
    <row r="15" spans="3:34" ht="35.25" customHeight="1" x14ac:dyDescent="0.3">
      <c r="W15" s="56"/>
    </row>
    <row r="16" spans="3:34" ht="35.25" customHeight="1" x14ac:dyDescent="0.4">
      <c r="C16" s="53"/>
      <c r="D16" s="54" t="s">
        <v>66</v>
      </c>
      <c r="E16" s="54" t="s">
        <v>221</v>
      </c>
      <c r="F16" s="54" t="s">
        <v>71</v>
      </c>
      <c r="G16" s="54" t="s">
        <v>5</v>
      </c>
      <c r="H16" s="54" t="s">
        <v>6</v>
      </c>
      <c r="I16" s="54" t="s">
        <v>21</v>
      </c>
      <c r="K16" s="55" t="s">
        <v>81</v>
      </c>
      <c r="L16" s="55" t="s">
        <v>82</v>
      </c>
      <c r="M16" s="55" t="s">
        <v>66</v>
      </c>
      <c r="N16" s="55" t="s">
        <v>221</v>
      </c>
      <c r="O16" s="55" t="s">
        <v>6</v>
      </c>
      <c r="P16" s="55" t="s">
        <v>67</v>
      </c>
      <c r="Q16" s="55" t="s">
        <v>21</v>
      </c>
      <c r="R16" s="55" t="s">
        <v>68</v>
      </c>
      <c r="Z16" s="62"/>
    </row>
    <row r="17" spans="3:25" ht="35.25" customHeight="1" x14ac:dyDescent="0.5">
      <c r="C17" s="57" t="s">
        <v>183</v>
      </c>
      <c r="D17" s="58">
        <f>SUMIFS(Dataset!AK:AK,Dataset!F:F,'credito latam'!D11,Dataset!Z:Z,"CL")</f>
        <v>0</v>
      </c>
      <c r="E17" s="58">
        <f>SUMIFS(Dataset!AJ:AJ,Dataset!F:F,'credito latam'!D11,Dataset!Z:Z,"CL")</f>
        <v>0</v>
      </c>
      <c r="F17" s="59">
        <f>SUMIFS(Dataset!V:V,Dataset!F:F,'credito latam'!D11,Dataset!Z:Z,"CL")/1000</f>
        <v>0</v>
      </c>
      <c r="G17" s="60">
        <f>SUMIFS(Dataset!H:H,Dataset!F:F,'credito latam'!D11,Dataset!Z:Z,"CL")</f>
        <v>0</v>
      </c>
      <c r="H17" s="58">
        <f>SUMIFS(Dataset!I:I,Dataset!F:F,'credito latam'!D11,Dataset!Z:Z,"CL")</f>
        <v>0</v>
      </c>
      <c r="I17" s="58">
        <f>SUMIFS(Dataset!AA:AA,Dataset!F:F,'credito latam'!D11,Dataset!Z:Z,"CL")</f>
        <v>0</v>
      </c>
      <c r="K17" s="61">
        <v>1</v>
      </c>
      <c r="L17" s="58" t="str">
        <f>IFERROR(INDEX(Dataset!X:X,MATCH(_xlfn.AGGREGATE(14,6,Dataset!AK:AK/(Dataset!F:F=$D$11),K17),Dataset!AK:AK,0),1),"-")</f>
        <v>-</v>
      </c>
      <c r="M17" s="58" t="str">
        <f>IFERROR(INDEX(Dataset!AK:AK,MATCH(_xlfn.AGGREGATE(14,6,Dataset!AK:AK/(Dataset!F:F=$D$11),K17),Dataset!AK:AK,0),1),"-")</f>
        <v>-</v>
      </c>
      <c r="N17" s="58" t="str">
        <f>IFERROR(INDEX(Dataset!AJ:AJ,MATCH(_xlfn.AGGREGATE(14,6,Dataset!AK:AK/(Dataset!F:F=$D$11),K17),Dataset!AK:AK,0),1),"-")</f>
        <v>-</v>
      </c>
      <c r="O17" s="58" t="str">
        <f>IFERROR(INDEX(Dataset!I:I,MATCH(_xlfn.AGGREGATE(14,6,Dataset!AK:AK/(Dataset!F:F=$D$11),K17),Dataset!AK:AK,0),1),"-")</f>
        <v>-</v>
      </c>
      <c r="P17" s="58" t="e">
        <f>IFERROR(INDEX(Dataset!R:R,MATCH(_xlfn.AGGREGATE(14,6,Dataset!AK:AK/(Dataset!F:F=$D$11),K17),Dataset!AK:AK,0),1),"-")/100</f>
        <v>#VALUE!</v>
      </c>
      <c r="Q17" s="58" t="str">
        <f>IFERROR(INDEX(Dataset!AA:AA,MATCH(_xlfn.AGGREGATE(14,6,Dataset!AK:AK/(Dataset!F:F=$D$11),K17),Dataset!AK:AK,0),1),"-")</f>
        <v>-</v>
      </c>
      <c r="R17" s="60" t="str">
        <f>IFERROR(INDEX(Dataset!J:J,MATCH(_xlfn.AGGREGATE(14,6,Dataset!AK:AK/(Dataset!F:F=$D$11),K17),Dataset!AK:AK,0),1),"-")</f>
        <v>-</v>
      </c>
    </row>
    <row r="18" spans="3:25" ht="35.25" customHeight="1" x14ac:dyDescent="0.5">
      <c r="C18" s="57" t="s">
        <v>184</v>
      </c>
      <c r="D18" s="58">
        <f>SUMIFS(Dataset!AK:AK,Dataset!F:F,'credito latam'!D11,Dataset!Z:Z,"MX")</f>
        <v>0</v>
      </c>
      <c r="E18" s="58">
        <f>SUMIFS(Dataset!AJ:AJ,Dataset!F:F,'credito latam'!D11,Dataset!Z:Z,"MX")</f>
        <v>0</v>
      </c>
      <c r="F18" s="59">
        <f>SUMIFS(Dataset!V:V,Dataset!F:F,'credito latam'!D11,Dataset!Z:Z,"MX")/1000</f>
        <v>0</v>
      </c>
      <c r="G18" s="60">
        <f>SUMIFS(Dataset!H:H,Dataset!F:F,'credito latam'!D11,Dataset!Z:Z,"MX")</f>
        <v>0</v>
      </c>
      <c r="H18" s="58">
        <f>SUMIFS(Dataset!I:I,Dataset!F:F,'credito latam'!D11,Dataset!Z:Z,"MX")</f>
        <v>0</v>
      </c>
      <c r="I18" s="58">
        <f>SUMIFS(Dataset!AA:AA,Dataset!F:F,'credito latam'!D11,Dataset!Z:Z,"MX")</f>
        <v>0</v>
      </c>
      <c r="K18" s="61">
        <v>2</v>
      </c>
      <c r="L18" s="58" t="str">
        <f>IFERROR(INDEX(Dataset!X:X,MATCH(_xlfn.AGGREGATE(14,6,Dataset!AK:AK/(Dataset!F:F=$D$11),K18),Dataset!AK:AK,0),1),"-")</f>
        <v>-</v>
      </c>
      <c r="M18" s="58" t="str">
        <f>IFERROR(INDEX(Dataset!AK:AK,MATCH(_xlfn.AGGREGATE(14,6,Dataset!AK:AK/(Dataset!F:F=$D$11),K18),Dataset!AK:AK,0),1),"-")</f>
        <v>-</v>
      </c>
      <c r="N18" s="58" t="str">
        <f>IFERROR(INDEX(Dataset!AJ:AJ,MATCH(_xlfn.AGGREGATE(14,6,Dataset!AK:AK/(Dataset!F:F=$D$11),K18),Dataset!AK:AK,0),1),"-")</f>
        <v>-</v>
      </c>
      <c r="O18" s="58" t="str">
        <f>IFERROR(INDEX(Dataset!I:I,MATCH(_xlfn.AGGREGATE(14,6,Dataset!AK:AK/(Dataset!F:F=$D$11),K18),Dataset!AK:AK,0),1),"-")</f>
        <v>-</v>
      </c>
      <c r="P18" s="58" t="e">
        <f>IFERROR(INDEX(Dataset!R:R,MATCH(_xlfn.AGGREGATE(14,6,Dataset!AK:AK/(Dataset!F:F=$D$11),K18),Dataset!AK:AK,0),1),"-")/100</f>
        <v>#VALUE!</v>
      </c>
      <c r="Q18" s="58" t="str">
        <f>IFERROR(INDEX(Dataset!AA:AA,MATCH(_xlfn.AGGREGATE(14,6,Dataset!AK:AK/(Dataset!F:F=$D$11),K18),Dataset!AK:AK,0),1),"-")</f>
        <v>-</v>
      </c>
      <c r="R18" s="60" t="str">
        <f>IFERROR(INDEX(Dataset!J:J,MATCH(_xlfn.AGGREGATE(14,6,Dataset!AK:AK/(Dataset!F:F=$D$11),K18),Dataset!AK:AK,0),1),"-")</f>
        <v>-</v>
      </c>
      <c r="X18" s="52"/>
      <c r="Y18" s="63"/>
    </row>
    <row r="19" spans="3:25" ht="35.25" customHeight="1" x14ac:dyDescent="0.5">
      <c r="C19" s="57" t="s">
        <v>185</v>
      </c>
      <c r="D19" s="58">
        <f>SUMIFS(Dataset!AK:AK,Dataset!F:F,'credito latam'!D11,Dataset!Z:Z,"CO")</f>
        <v>0</v>
      </c>
      <c r="E19" s="58">
        <f>SUMIFS(Dataset!AJ:AJ,Dataset!F:F,'credito latam'!D11,Dataset!Z:Z,"CO")</f>
        <v>0</v>
      </c>
      <c r="F19" s="59">
        <f>SUMIFS(Dataset!V:V,Dataset!F:F,'credito latam'!D11,Dataset!Z:Z,"CO")/1000</f>
        <v>0</v>
      </c>
      <c r="G19" s="60">
        <f>SUMIFS(Dataset!H:H,Dataset!F:F,'credito latam'!D11,Dataset!Z:Z,"CO")</f>
        <v>0</v>
      </c>
      <c r="H19" s="58">
        <f>SUMIFS(Dataset!I:I,Dataset!F:F,'credito latam'!D11,Dataset!Z:Z,"CO")</f>
        <v>0</v>
      </c>
      <c r="I19" s="58">
        <f>SUMIFS(Dataset!AA:AA,Dataset!F:F,'credito latam'!D11,Dataset!Z:Z,"CO")</f>
        <v>0</v>
      </c>
      <c r="K19" s="61">
        <v>3</v>
      </c>
      <c r="L19" s="58" t="str">
        <f>IFERROR(INDEX(Dataset!X:X,MATCH(_xlfn.AGGREGATE(14,6,Dataset!AK:AK/(Dataset!F:F=$D$11),K19),Dataset!AK:AK,0),1),"-")</f>
        <v>-</v>
      </c>
      <c r="M19" s="58" t="str">
        <f>IFERROR(INDEX(Dataset!AK:AK,MATCH(_xlfn.AGGREGATE(14,6,Dataset!AK:AK/(Dataset!F:F=$D$11),K19),Dataset!AK:AK,0),1),"-")</f>
        <v>-</v>
      </c>
      <c r="N19" s="58" t="str">
        <f>IFERROR(INDEX(Dataset!AJ:AJ,MATCH(_xlfn.AGGREGATE(14,6,Dataset!AK:AK/(Dataset!F:F=$D$11),K19),Dataset!AK:AK,0),1),"-")</f>
        <v>-</v>
      </c>
      <c r="O19" s="58" t="str">
        <f>IFERROR(INDEX(Dataset!I:I,MATCH(_xlfn.AGGREGATE(14,6,Dataset!AK:AK/(Dataset!F:F=$D$11),K19),Dataset!AK:AK,0),1),"-")</f>
        <v>-</v>
      </c>
      <c r="P19" s="58" t="e">
        <f>IFERROR(INDEX(Dataset!R:R,MATCH(_xlfn.AGGREGATE(14,6,Dataset!AK:AK/(Dataset!F:F=$D$11),K19),Dataset!AK:AK,0),1),"-")/100</f>
        <v>#VALUE!</v>
      </c>
      <c r="Q19" s="58" t="str">
        <f>IFERROR(INDEX(Dataset!AA:AA,MATCH(_xlfn.AGGREGATE(14,6,Dataset!AK:AK/(Dataset!F:F=$D$11),K19),Dataset!AK:AK,0),1),"-")</f>
        <v>-</v>
      </c>
      <c r="R19" s="60" t="str">
        <f>IFERROR(INDEX(Dataset!J:J,MATCH(_xlfn.AGGREGATE(14,6,Dataset!AK:AK/(Dataset!F:F=$D$11),K19),Dataset!AK:AK,0),1),"-")</f>
        <v>-</v>
      </c>
    </row>
    <row r="20" spans="3:25" ht="35.25" customHeight="1" x14ac:dyDescent="0.5">
      <c r="C20" s="57" t="s">
        <v>186</v>
      </c>
      <c r="D20" s="58">
        <f>SUMIFS(Dataset!AK:AK,Dataset!F:F,'credito latam'!D11,Dataset!Z:Z,"PE")</f>
        <v>0</v>
      </c>
      <c r="E20" s="58">
        <f>SUMIFS(Dataset!AJ:AJ,Dataset!F:F,'credito latam'!D11,Dataset!Z:Z,"PE")</f>
        <v>0</v>
      </c>
      <c r="F20" s="59">
        <f>SUMIFS(Dataset!V:V,Dataset!F:F,'credito latam'!D11,Dataset!Z:Z,"PE")/1000</f>
        <v>0</v>
      </c>
      <c r="G20" s="60">
        <f>SUMIFS(Dataset!H:H,Dataset!F:F,'credito latam'!D11,Dataset!Z:Z,"PE")</f>
        <v>0</v>
      </c>
      <c r="H20" s="58">
        <f>SUMIFS(Dataset!I:I,Dataset!F:F,'credito latam'!D11,Dataset!Z:Z,"PE")</f>
        <v>0</v>
      </c>
      <c r="I20" s="58">
        <f>SUMIFS(Dataset!AA:AA,Dataset!F:F,'credito latam'!D11,Dataset!Z:Z,"PE")</f>
        <v>0</v>
      </c>
      <c r="K20" s="61">
        <v>4</v>
      </c>
      <c r="L20" s="58" t="str">
        <f>IFERROR(INDEX(Dataset!X:X,MATCH(_xlfn.AGGREGATE(14,6,Dataset!AK:AK/(Dataset!F:F=$D$11),K20),Dataset!AK:AK,0),1),"-")</f>
        <v>-</v>
      </c>
      <c r="M20" s="58" t="str">
        <f>IFERROR(INDEX(Dataset!AK:AK,MATCH(_xlfn.AGGREGATE(14,6,Dataset!AK:AK/(Dataset!F:F=$D$11),K20),Dataset!AK:AK,0),1),"-")</f>
        <v>-</v>
      </c>
      <c r="N20" s="58" t="str">
        <f>IFERROR(INDEX(Dataset!AJ:AJ,MATCH(_xlfn.AGGREGATE(14,6,Dataset!AK:AK/(Dataset!F:F=$D$11),K20),Dataset!AK:AK,0),1),"-")</f>
        <v>-</v>
      </c>
      <c r="O20" s="58" t="str">
        <f>IFERROR(INDEX(Dataset!I:I,MATCH(_xlfn.AGGREGATE(14,6,Dataset!AK:AK/(Dataset!F:F=$D$11),K20),Dataset!AK:AK,0),1),"-")</f>
        <v>-</v>
      </c>
      <c r="P20" s="58" t="e">
        <f>IFERROR(INDEX(Dataset!R:R,MATCH(_xlfn.AGGREGATE(14,6,Dataset!AK:AK/(Dataset!F:F=$D$11),K20),Dataset!AK:AK,0),1),"-")/100</f>
        <v>#VALUE!</v>
      </c>
      <c r="Q20" s="58" t="str">
        <f>IFERROR(INDEX(Dataset!AA:AA,MATCH(_xlfn.AGGREGATE(14,6,Dataset!AK:AK/(Dataset!F:F=$D$11),K20),Dataset!AK:AK,0),1),"-")</f>
        <v>-</v>
      </c>
      <c r="R20" s="60" t="str">
        <f>IFERROR(INDEX(Dataset!J:J,MATCH(_xlfn.AGGREGATE(14,6,Dataset!AK:AK/(Dataset!F:F=$D$11),K20),Dataset!AK:AK,0),1),"-")</f>
        <v>-</v>
      </c>
    </row>
    <row r="21" spans="3:25" ht="35.25" customHeight="1" x14ac:dyDescent="0.5">
      <c r="C21" s="57" t="s">
        <v>187</v>
      </c>
      <c r="D21" s="58">
        <f>SUMIFS(Dataset!AK:AK,Dataset!F:F,'credito latam'!D11,Dataset!Z:Z,"BR")</f>
        <v>0</v>
      </c>
      <c r="E21" s="58">
        <f>SUMIFS(Dataset!AJ:AJ,Dataset!F:F,'credito latam'!D11,Dataset!Z:Z,"BR")</f>
        <v>0</v>
      </c>
      <c r="F21" s="59">
        <f>SUMIFS(Dataset!V:V,Dataset!F:F,'credito latam'!D11,Dataset!Z:Z,"BR")/1000</f>
        <v>0</v>
      </c>
      <c r="G21" s="60">
        <f>SUMIFS(Dataset!H:H,Dataset!F:F,'credito latam'!D11,Dataset!Z:Z,"BR")</f>
        <v>0</v>
      </c>
      <c r="H21" s="58">
        <f>SUMIFS(Dataset!I:I,Dataset!F:F,'credito latam'!D11,Dataset!Z:Z,"BR")</f>
        <v>0</v>
      </c>
      <c r="I21" s="58">
        <f>SUMIFS(Dataset!AA:AA,Dataset!F:F,'credito latam'!D11,Dataset!Z:Z,"BR")</f>
        <v>0</v>
      </c>
      <c r="K21" s="61">
        <v>5</v>
      </c>
      <c r="L21" s="58" t="str">
        <f>IFERROR(INDEX(Dataset!X:X,MATCH(_xlfn.AGGREGATE(14,6,Dataset!AK:AK/(Dataset!F:F=$D$11),K21),Dataset!AK:AK,0),1),"-")</f>
        <v>-</v>
      </c>
      <c r="M21" s="58" t="str">
        <f>IFERROR(INDEX(Dataset!AK:AK,MATCH(_xlfn.AGGREGATE(14,6,Dataset!AK:AK/(Dataset!F:F=$D$11),K21),Dataset!AK:AK,0),1),"-")</f>
        <v>-</v>
      </c>
      <c r="N21" s="58" t="str">
        <f>IFERROR(INDEX(Dataset!AJ:AJ,MATCH(_xlfn.AGGREGATE(14,6,Dataset!AK:AK/(Dataset!F:F=$D$11),K21),Dataset!AK:AK,0),1),"-")</f>
        <v>-</v>
      </c>
      <c r="O21" s="58" t="str">
        <f>IFERROR(INDEX(Dataset!I:I,MATCH(_xlfn.AGGREGATE(14,6,Dataset!AK:AK/(Dataset!F:F=$D$11),K21),Dataset!AK:AK,0),1),"-")</f>
        <v>-</v>
      </c>
      <c r="P21" s="58" t="e">
        <f>IFERROR(INDEX(Dataset!R:R,MATCH(_xlfn.AGGREGATE(14,6,Dataset!AK:AK/(Dataset!F:F=$D$11),K21),Dataset!AK:AK,0),1),"-")/100</f>
        <v>#VALUE!</v>
      </c>
      <c r="Q21" s="58" t="str">
        <f>IFERROR(INDEX(Dataset!AA:AA,MATCH(_xlfn.AGGREGATE(14,6,Dataset!AK:AK/(Dataset!F:F=$D$11),K21),Dataset!AK:AK,0),1),"-")</f>
        <v>-</v>
      </c>
      <c r="R21" s="60" t="str">
        <f>IFERROR(INDEX(Dataset!J:J,MATCH(_xlfn.AGGREGATE(14,6,Dataset!AK:AK/(Dataset!F:F=$D$11),K21),Dataset!AK:AK,0),1),"-")</f>
        <v>-</v>
      </c>
    </row>
    <row r="22" spans="3:25" ht="35.25" customHeight="1" x14ac:dyDescent="0.5">
      <c r="C22" s="57" t="s">
        <v>188</v>
      </c>
      <c r="D22" s="58">
        <f>SUMIFS(Dataset!AK:AK,Dataset!F:F,'credito latam'!D11,Dataset!Z:Z,"PA")</f>
        <v>0</v>
      </c>
      <c r="E22" s="58">
        <f>SUMIFS(Dataset!AJ:AJ,Dataset!F:F,'credito latam'!D11,Dataset!Z:Z,"PA")</f>
        <v>0</v>
      </c>
      <c r="F22" s="59">
        <f>SUMIFS(Dataset!V:V,Dataset!F:F,'credito latam'!D11,Dataset!Z:Z,"PA")/1000</f>
        <v>0</v>
      </c>
      <c r="G22" s="60">
        <f>SUMIFS(Dataset!H:H,Dataset!F:F,'credito latam'!D11,Dataset!Z:Z,"PA")</f>
        <v>0</v>
      </c>
      <c r="H22" s="58">
        <f>SUMIFS(Dataset!I:I,Dataset!F:F,'credito latam'!D11,Dataset!Z:Z,"PA")</f>
        <v>0</v>
      </c>
      <c r="I22" s="58">
        <f>SUMIFS(Dataset!AA:AA,Dataset!F:F,'credito latam'!D11,Dataset!Z:Z,"PA")</f>
        <v>0</v>
      </c>
      <c r="K22" s="61">
        <v>6</v>
      </c>
      <c r="L22" s="58" t="str">
        <f>IFERROR(INDEX(Dataset!X:X,MATCH(_xlfn.AGGREGATE(14,6,Dataset!AK:AK/(Dataset!F:F=$D$11),K22),Dataset!AK:AK,0),1),"-")</f>
        <v>-</v>
      </c>
      <c r="M22" s="58" t="str">
        <f>IFERROR(INDEX(Dataset!AK:AK,MATCH(_xlfn.AGGREGATE(14,6,Dataset!AK:AK/(Dataset!F:F=$D$11),K22),Dataset!AK:AK,0),1),"-")</f>
        <v>-</v>
      </c>
      <c r="N22" s="58" t="str">
        <f>IFERROR(INDEX(Dataset!AJ:AJ,MATCH(_xlfn.AGGREGATE(14,6,Dataset!AK:AK/(Dataset!F:F=$D$11),K22),Dataset!AK:AK,0),1),"-")</f>
        <v>-</v>
      </c>
      <c r="O22" s="58" t="str">
        <f>IFERROR(INDEX(Dataset!I:I,MATCH(_xlfn.AGGREGATE(14,6,Dataset!AK:AK/(Dataset!F:F=$D$11),K22),Dataset!AK:AK,0),1),"-")</f>
        <v>-</v>
      </c>
      <c r="P22" s="58" t="e">
        <f>IFERROR(INDEX(Dataset!R:R,MATCH(_xlfn.AGGREGATE(14,6,Dataset!AK:AK/(Dataset!F:F=$D$11),K22),Dataset!AK:AK,0),1),"-")/100</f>
        <v>#VALUE!</v>
      </c>
      <c r="Q22" s="58" t="str">
        <f>IFERROR(INDEX(Dataset!AA:AA,MATCH(_xlfn.AGGREGATE(14,6,Dataset!AK:AK/(Dataset!F:F=$D$11),K22),Dataset!AK:AK,0),1),"-")</f>
        <v>-</v>
      </c>
      <c r="R22" s="60" t="str">
        <f>IFERROR(INDEX(Dataset!J:J,MATCH(_xlfn.AGGREGATE(14,6,Dataset!AK:AK/(Dataset!F:F=$D$11),K22),Dataset!AK:AK,0),1),"-")</f>
        <v>-</v>
      </c>
    </row>
    <row r="23" spans="3:25" ht="35.25" customHeight="1" x14ac:dyDescent="0.5">
      <c r="C23" s="57" t="s">
        <v>189</v>
      </c>
      <c r="D23" s="58">
        <f>SUMIFS(Dataset!AK:AK,Dataset!F:F,'credito latam'!D11,Dataset!Z:Z,"N/A")</f>
        <v>0</v>
      </c>
      <c r="E23" s="58">
        <f>SUMIFS(Dataset!AJ:AJ,Dataset!F:F,'credito latam'!D11,Dataset!Z:Z,"N/A")</f>
        <v>0</v>
      </c>
      <c r="F23" s="59">
        <f>SUMIFS(Dataset!V:V,Dataset!F:F,'credito latam'!D11,Dataset!Z:Z,"N/A")/1000</f>
        <v>0</v>
      </c>
      <c r="G23" s="60">
        <f>SUMIFS(Dataset!H:H,Dataset!F:F,'credito latam'!D11,Dataset!Z:Z,"N/A")</f>
        <v>0</v>
      </c>
      <c r="H23" s="58">
        <f>SUMIFS(Dataset!I:I,Dataset!F:F,'credito latam'!D11,Dataset!Z:Z,"N/A")</f>
        <v>0</v>
      </c>
      <c r="I23" s="58">
        <f>SUMIFS(Dataset!AA:AA,Dataset!F:F,'credito latam'!D11,Dataset!Z:Z,"N/A")</f>
        <v>0</v>
      </c>
      <c r="K23" s="61">
        <v>7</v>
      </c>
      <c r="L23" s="58" t="str">
        <f>IFERROR(INDEX(Dataset!X:X,MATCH(_xlfn.AGGREGATE(14,6,Dataset!AK:AK/(Dataset!F:F=$D$11),K23),Dataset!AK:AK,0),1),"-")</f>
        <v>-</v>
      </c>
      <c r="M23" s="58" t="str">
        <f>IFERROR(INDEX(Dataset!AK:AK,MATCH(_xlfn.AGGREGATE(14,6,Dataset!AK:AK/(Dataset!F:F=$D$11),K23),Dataset!AK:AK,0),1),"-")</f>
        <v>-</v>
      </c>
      <c r="N23" s="58" t="str">
        <f>IFERROR(INDEX(Dataset!AJ:AJ,MATCH(_xlfn.AGGREGATE(14,6,Dataset!AK:AK/(Dataset!F:F=$D$11),K23),Dataset!AK:AK,0),1),"-")</f>
        <v>-</v>
      </c>
      <c r="O23" s="58" t="str">
        <f>IFERROR(INDEX(Dataset!I:I,MATCH(_xlfn.AGGREGATE(14,6,Dataset!AK:AK/(Dataset!F:F=$D$11),K23),Dataset!AK:AK,0),1),"-")</f>
        <v>-</v>
      </c>
      <c r="P23" s="58" t="e">
        <f>IFERROR(INDEX(Dataset!R:R,MATCH(_xlfn.AGGREGATE(14,6,Dataset!AK:AK/(Dataset!F:F=$D$11),K23),Dataset!AK:AK,0),1),"-")/100</f>
        <v>#VALUE!</v>
      </c>
      <c r="Q23" s="58" t="str">
        <f>IFERROR(INDEX(Dataset!AA:AA,MATCH(_xlfn.AGGREGATE(14,6,Dataset!AK:AK/(Dataset!F:F=$D$11),K23),Dataset!AK:AK,0),1),"-")</f>
        <v>-</v>
      </c>
      <c r="R23" s="60" t="str">
        <f>IFERROR(INDEX(Dataset!J:J,MATCH(_xlfn.AGGREGATE(14,6,Dataset!AK:AK/(Dataset!F:F=$D$11),K23),Dataset!AK:AK,0),1),"-")</f>
        <v>-</v>
      </c>
    </row>
    <row r="24" spans="3:25" ht="35.25" customHeight="1" x14ac:dyDescent="0.5">
      <c r="C24" s="57" t="s">
        <v>190</v>
      </c>
      <c r="D24" s="58">
        <f>SUMIFS(Dataset!AK:AK,Dataset!F:F,'credito latam'!D11,Dataset!Z:Z,"&lt;&gt;CL",Dataset!Z:Z,"&lt;&gt;MX",Dataset!Z:Z,"&lt;&gt;CO",Dataset!Z:Z,"&lt;&gt;PE",Dataset!Z:Z,"&lt;&gt;BR",Dataset!Z:Z,"&lt;&gt;PA",Dataset!Z:Z,"&lt;&gt;N/A")</f>
        <v>0</v>
      </c>
      <c r="E24" s="58">
        <f>SUMIFS(Dataset!AJ:AJ,Dataset!F:F,'credito latam'!D11,Dataset!Z:Z,"&lt;&gt;CL",Dataset!Z:Z,"&lt;&gt;MX",Dataset!Z:Z,"&lt;&gt;CO",Dataset!Z:Z,"&lt;&gt;PE",Dataset!Z:Z,"&lt;&gt;BR",Dataset!Z:Z,"&lt;&gt;PA",Dataset!Z:Z,"&lt;&gt;N/A")</f>
        <v>0</v>
      </c>
      <c r="F24" s="59">
        <f>SUMIFS(Dataset!V:V,Dataset!F:F,'credito latam'!D11,Dataset!Z:Z,"&lt;&gt;CL",Dataset!Z:Z,"&lt;&gt;MX",Dataset!Z:Z,"&lt;&gt;CO",Dataset!Z:Z,"&lt;&gt;PE",Dataset!Z:Z,"&lt;&gt;BR",Dataset!Z:Z,"&lt;&gt;PA",Dataset!Z:Z,"&lt;&gt;N/A")/1000</f>
        <v>0</v>
      </c>
      <c r="G24" s="60">
        <f>SUMIFS(Dataset!H:H,Dataset!F:F,'credito latam'!D11,Dataset!Z:Z,"&lt;&gt;CL",Dataset!Z:Z,"&lt;&gt;MX",Dataset!Z:Z,"&lt;&gt;CO",Dataset!Z:Z,"&lt;&gt;PE",Dataset!Z:Z,"&lt;&gt;BR",Dataset!Z:Z,"&lt;&gt;PA",Dataset!Z:Z,"&lt;&gt;N/A")</f>
        <v>0</v>
      </c>
      <c r="H24" s="58">
        <f>SUMIFS(Dataset!I:I,Dataset!F:F,'credito latam'!D11,Dataset!Z:Z,"&lt;&gt;CL",Dataset!Z:Z,"&lt;&gt;MX",Dataset!Z:Z,"&lt;&gt;CO",Dataset!Z:Z,"&lt;&gt;PE",Dataset!Z:Z,"&lt;&gt;BR",Dataset!Z:Z,"&lt;&gt;PA",Dataset!Z:Z,"&lt;&gt;N/A")</f>
        <v>0</v>
      </c>
      <c r="I24" s="58">
        <f>SUMIFS(Dataset!AA:AA,Dataset!F:F,'credito latam'!D11,Dataset!Z:Z,"&lt;&gt;CL",Dataset!Z:Z,"&lt;&gt;MX",Dataset!Z:Z,"&lt;&gt;CO",Dataset!Z:Z,"&lt;&gt;PE",Dataset!Z:Z,"&lt;&gt;BR",Dataset!Z:Z,"&lt;&gt;PA",Dataset!Z:Z,"&lt;&gt;N/A")</f>
        <v>0</v>
      </c>
      <c r="K24" s="61">
        <v>8</v>
      </c>
      <c r="L24" s="58" t="str">
        <f>IFERROR(INDEX(Dataset!X:X,MATCH(_xlfn.AGGREGATE(14,6,Dataset!AK:AK/(Dataset!F:F=$D$11),K24),Dataset!AK:AK,0),1),"-")</f>
        <v>-</v>
      </c>
      <c r="M24" s="58" t="str">
        <f>IFERROR(INDEX(Dataset!AK:AK,MATCH(_xlfn.AGGREGATE(14,6,Dataset!AK:AK/(Dataset!F:F=$D$11),K24),Dataset!AK:AK,0),1),"-")</f>
        <v>-</v>
      </c>
      <c r="N24" s="58" t="str">
        <f>IFERROR(INDEX(Dataset!AJ:AJ,MATCH(_xlfn.AGGREGATE(14,6,Dataset!AK:AK/(Dataset!F:F=$D$11),K24),Dataset!AK:AK,0),1),"-")</f>
        <v>-</v>
      </c>
      <c r="O24" s="58" t="str">
        <f>IFERROR(INDEX(Dataset!I:I,MATCH(_xlfn.AGGREGATE(14,6,Dataset!AK:AK/(Dataset!F:F=$D$11),K24),Dataset!AK:AK,0),1),"-")</f>
        <v>-</v>
      </c>
      <c r="P24" s="58" t="e">
        <f>IFERROR(INDEX(Dataset!R:R,MATCH(_xlfn.AGGREGATE(14,6,Dataset!AK:AK/(Dataset!F:F=$D$11),K24),Dataset!AK:AK,0),1),"-")/100</f>
        <v>#VALUE!</v>
      </c>
      <c r="Q24" s="58" t="str">
        <f>IFERROR(INDEX(Dataset!AA:AA,MATCH(_xlfn.AGGREGATE(14,6,Dataset!AK:AK/(Dataset!F:F=$D$11),K24),Dataset!AK:AK,0),1),"-")</f>
        <v>-</v>
      </c>
      <c r="R24" s="60" t="str">
        <f>IFERROR(INDEX(Dataset!J:J,MATCH(_xlfn.AGGREGATE(14,6,Dataset!AK:AK/(Dataset!F:F=$D$11),K24),Dataset!AK:AK,0),1),"-")</f>
        <v>-</v>
      </c>
    </row>
    <row r="25" spans="3:25" ht="35.25" customHeight="1" x14ac:dyDescent="0.5">
      <c r="C25" s="65" t="s">
        <v>62</v>
      </c>
      <c r="D25" s="66">
        <f t="shared" ref="D25:I25" si="0">SUM(D17:D24)</f>
        <v>0</v>
      </c>
      <c r="E25" s="66">
        <f t="shared" si="0"/>
        <v>0</v>
      </c>
      <c r="F25" s="67">
        <f t="shared" si="0"/>
        <v>0</v>
      </c>
      <c r="G25" s="68">
        <f t="shared" si="0"/>
        <v>0</v>
      </c>
      <c r="H25" s="66">
        <f t="shared" si="0"/>
        <v>0</v>
      </c>
      <c r="I25" s="66">
        <f t="shared" si="0"/>
        <v>0</v>
      </c>
      <c r="K25" s="61">
        <v>9</v>
      </c>
      <c r="L25" s="58" t="str">
        <f>IFERROR(INDEX(Dataset!X:X,MATCH(_xlfn.AGGREGATE(14,6,Dataset!AK:AK/(Dataset!F:F=$D$11),K25),Dataset!AK:AK,0),1),"-")</f>
        <v>-</v>
      </c>
      <c r="M25" s="58" t="str">
        <f>IFERROR(INDEX(Dataset!AK:AK,MATCH(_xlfn.AGGREGATE(14,6,Dataset!AK:AK/(Dataset!F:F=$D$11),K25),Dataset!AK:AK,0),1),"-")</f>
        <v>-</v>
      </c>
      <c r="N25" s="58" t="str">
        <f>IFERROR(INDEX(Dataset!AJ:AJ,MATCH(_xlfn.AGGREGATE(14,6,Dataset!AK:AK/(Dataset!F:F=$D$11),K25),Dataset!AK:AK,0),1),"-")</f>
        <v>-</v>
      </c>
      <c r="O25" s="58" t="str">
        <f>IFERROR(INDEX(Dataset!I:I,MATCH(_xlfn.AGGREGATE(14,6,Dataset!AK:AK/(Dataset!F:F=$D$11),K25),Dataset!AK:AK,0),1),"-")</f>
        <v>-</v>
      </c>
      <c r="P25" s="58" t="e">
        <f>IFERROR(INDEX(Dataset!R:R,MATCH(_xlfn.AGGREGATE(14,6,Dataset!AK:AK/(Dataset!F:F=$D$11),K25),Dataset!AK:AK,0),1),"-")/100</f>
        <v>#VALUE!</v>
      </c>
      <c r="Q25" s="58" t="str">
        <f>IFERROR(INDEX(Dataset!AA:AA,MATCH(_xlfn.AGGREGATE(14,6,Dataset!AK:AK/(Dataset!F:F=$D$11),K25),Dataset!AK:AK,0),1),"-")</f>
        <v>-</v>
      </c>
      <c r="R25" s="60" t="str">
        <f>IFERROR(INDEX(Dataset!J:J,MATCH(_xlfn.AGGREGATE(14,6,Dataset!AK:AK/(Dataset!F:F=$D$11),K25),Dataset!AK:AK,0),1),"-")</f>
        <v>-</v>
      </c>
    </row>
    <row r="26" spans="3:25" ht="35.25" customHeight="1" x14ac:dyDescent="0.5">
      <c r="K26" s="61">
        <v>10</v>
      </c>
      <c r="L26" s="58" t="str">
        <f>IFERROR(INDEX(Dataset!X:X,MATCH(_xlfn.AGGREGATE(14,6,Dataset!AK:AK/(Dataset!F:F=$D$11),K26),Dataset!AK:AK,0),1),"-")</f>
        <v>-</v>
      </c>
      <c r="M26" s="58" t="str">
        <f>IFERROR(INDEX(Dataset!AK:AK,MATCH(_xlfn.AGGREGATE(14,6,Dataset!AK:AK/(Dataset!F:F=$D$11),K26),Dataset!AK:AK,0),1),"-")</f>
        <v>-</v>
      </c>
      <c r="N26" s="58" t="str">
        <f>IFERROR(INDEX(Dataset!AJ:AJ,MATCH(_xlfn.AGGREGATE(14,6,Dataset!AK:AK/(Dataset!F:F=$D$11),K26),Dataset!AK:AK,0),1),"-")</f>
        <v>-</v>
      </c>
      <c r="O26" s="58" t="str">
        <f>IFERROR(INDEX(Dataset!I:I,MATCH(_xlfn.AGGREGATE(14,6,Dataset!AK:AK/(Dataset!F:F=$D$11),K26),Dataset!AK:AK,0),1),"-")</f>
        <v>-</v>
      </c>
      <c r="P26" s="58" t="e">
        <f>IFERROR(INDEX(Dataset!R:R,MATCH(_xlfn.AGGREGATE(14,6,Dataset!AK:AK/(Dataset!F:F=$D$11),K26),Dataset!AK:AK,0),1),"-")/100</f>
        <v>#VALUE!</v>
      </c>
      <c r="Q26" s="58" t="str">
        <f>IFERROR(INDEX(Dataset!AA:AA,MATCH(_xlfn.AGGREGATE(14,6,Dataset!AK:AK/(Dataset!F:F=$D$11),K26),Dataset!AK:AK,0),1),"-")</f>
        <v>-</v>
      </c>
      <c r="R26" s="60" t="str">
        <f>IFERROR(INDEX(Dataset!J:J,MATCH(_xlfn.AGGREGATE(14,6,Dataset!AK:AK/(Dataset!F:F=$D$11),K26),Dataset!AK:AK,0),1),"-")</f>
        <v>-</v>
      </c>
    </row>
    <row r="27" spans="3:25" ht="35.25" customHeight="1" x14ac:dyDescent="0.3"/>
    <row r="28" spans="3:25" ht="44.25" customHeight="1" x14ac:dyDescent="0.3"/>
    <row r="29" spans="3:25" ht="46.5" customHeight="1" x14ac:dyDescent="0.3">
      <c r="C29" s="176" t="s">
        <v>222</v>
      </c>
      <c r="D29" s="176"/>
      <c r="E29" s="176"/>
      <c r="F29" s="176"/>
      <c r="G29" s="176"/>
      <c r="H29" s="176"/>
      <c r="K29" s="176" t="s">
        <v>224</v>
      </c>
      <c r="L29" s="176"/>
      <c r="M29" s="176"/>
      <c r="N29" s="176"/>
      <c r="O29" s="176"/>
      <c r="P29" s="176"/>
      <c r="Q29" s="176"/>
      <c r="R29" s="176"/>
    </row>
    <row r="30" spans="3:25" ht="23.25" customHeight="1" x14ac:dyDescent="0.3"/>
    <row r="31" spans="3:25" ht="33" customHeight="1" x14ac:dyDescent="0.4">
      <c r="C31" s="53"/>
      <c r="D31" s="54" t="s">
        <v>66</v>
      </c>
      <c r="E31" s="54" t="s">
        <v>221</v>
      </c>
      <c r="F31" s="54" t="s">
        <v>71</v>
      </c>
      <c r="G31" s="54" t="s">
        <v>6</v>
      </c>
      <c r="H31" s="54" t="s">
        <v>21</v>
      </c>
      <c r="K31" s="55" t="s">
        <v>81</v>
      </c>
      <c r="L31" s="55" t="s">
        <v>82</v>
      </c>
      <c r="M31" s="55" t="s">
        <v>66</v>
      </c>
      <c r="N31" s="55" t="s">
        <v>221</v>
      </c>
      <c r="O31" s="55" t="s">
        <v>6</v>
      </c>
      <c r="P31" s="55" t="s">
        <v>67</v>
      </c>
      <c r="Q31" s="55" t="s">
        <v>21</v>
      </c>
      <c r="R31" s="55" t="s">
        <v>68</v>
      </c>
    </row>
    <row r="32" spans="3:25" ht="33" customHeight="1" x14ac:dyDescent="0.5">
      <c r="C32" s="57" t="s">
        <v>39</v>
      </c>
      <c r="D32" s="58">
        <f>SUMIFS(Dataset!AK:AK,Dataset!F:F,'credito latam'!$D$11,Dataset!T:T,$C32)</f>
        <v>0</v>
      </c>
      <c r="E32" s="58">
        <f>SUMIFS(Dataset!AJ:AJ,Dataset!F:F,'credito latam'!$D$11,Dataset!T:T,$C32)</f>
        <v>0</v>
      </c>
      <c r="F32" s="59">
        <f>SUMIFS(Dataset!V:V,Dataset!F:F,'credito latam'!$D$11,Dataset!T:T,$C32)/1000000</f>
        <v>0</v>
      </c>
      <c r="G32" s="58">
        <f>SUMIFS(Dataset!I:I,Dataset!F:F,'credito latam'!$D$11,Dataset!T:T,$C32)</f>
        <v>0</v>
      </c>
      <c r="H32" s="58">
        <f>SUMIFS(Dataset!AA:AA,Dataset!F:F,'credito latam'!$D$11,Dataset!T:T,$C32)</f>
        <v>0</v>
      </c>
      <c r="K32" s="61">
        <v>1</v>
      </c>
      <c r="L32" s="58" t="str">
        <f>IFERROR(INDEX(Dataset!W:W,MATCH(_xlfn.AGGREGATE(14,6,Dataset!I:I/(Dataset!F:F=$D$11),K32),Dataset!I:I,0),1),"-")</f>
        <v>-</v>
      </c>
      <c r="M32" s="58" t="str">
        <f>IFERROR(INDEX(Dataset!AK:AK,MATCH(_xlfn.AGGREGATE(14,6,Dataset!I:I/(Dataset!F:F=$D$11),K32),Dataset!I:I,0),1),"-")</f>
        <v>-</v>
      </c>
      <c r="N32" s="58" t="str">
        <f>IFERROR(INDEX(Dataset!AJ:AJ,MATCH(_xlfn.AGGREGATE(14,6,Dataset!I:I/(Dataset!F:F=$D$11),K32),Dataset!I:I,0),1),"-")</f>
        <v>-</v>
      </c>
      <c r="O32" s="58" t="str">
        <f>IFERROR(INDEX(Dataset!I:I,MATCH(_xlfn.AGGREGATE(14,6,Dataset!I:I/(Dataset!F:F=$D$11),K32),Dataset!I:I,0),1),"-")</f>
        <v>-</v>
      </c>
      <c r="P32" s="58" t="e">
        <f>IFERROR(INDEX(Dataset!R:R,MATCH(_xlfn.AGGREGATE(14,6,Dataset!I:I/(Dataset!F:F=$D$11),K32),Dataset!I:I,0),1),"-")/100</f>
        <v>#VALUE!</v>
      </c>
      <c r="Q32" s="58" t="str">
        <f>IFERROR(INDEX(Dataset!AA:AA,MATCH(_xlfn.AGGREGATE(14,6,Dataset!I:I/(Dataset!F:F=$D$11),K32),Dataset!I:I,0),1),"-")</f>
        <v>-</v>
      </c>
      <c r="R32" s="60" t="str">
        <f>IFERROR(INDEX(Dataset!J:J,MATCH(_xlfn.AGGREGATE(14,6,Dataset!I:I/(Dataset!F:F=$D$11),K32),Dataset!I:I,0),1),"-")</f>
        <v>-</v>
      </c>
    </row>
    <row r="33" spans="3:34" ht="42" customHeight="1" x14ac:dyDescent="0.5">
      <c r="C33" s="57" t="s">
        <v>32</v>
      </c>
      <c r="D33" s="58">
        <f>SUMIFS(Dataset!AK:AK,Dataset!F:F,'credito latam'!$D$11,Dataset!T:T,$C33)</f>
        <v>0</v>
      </c>
      <c r="E33" s="58">
        <f>SUMIFS(Dataset!AJ:AJ,Dataset!F:F,'credito latam'!$D$11,Dataset!T:T,$C33)</f>
        <v>0</v>
      </c>
      <c r="F33" s="59">
        <f>SUMIFS(Dataset!V:V,Dataset!F:F,'credito latam'!$D$11,Dataset!T:T,$C33)/1000000</f>
        <v>0</v>
      </c>
      <c r="G33" s="58">
        <f>SUMIFS(Dataset!I:I,Dataset!F:F,'credito latam'!$D$11,Dataset!T:T,$C33)</f>
        <v>0</v>
      </c>
      <c r="H33" s="58">
        <f>SUMIFS(Dataset!AA:AA,Dataset!F:F,'credito latam'!$D$11,Dataset!T:T,$C33)</f>
        <v>0</v>
      </c>
      <c r="K33" s="61">
        <v>2</v>
      </c>
      <c r="L33" s="58" t="str">
        <f>IFERROR(INDEX(Dataset!W:W,MATCH(_xlfn.AGGREGATE(14,6,Dataset!I:I/(Dataset!F:F=$D$11),K33),Dataset!I:I,0),1),"-")</f>
        <v>-</v>
      </c>
      <c r="M33" s="58" t="str">
        <f>IFERROR(INDEX(Dataset!AK:AK,MATCH(_xlfn.AGGREGATE(14,6,Dataset!I:I/(Dataset!F:F=$D$11),K33),Dataset!I:I,0),1),"-")</f>
        <v>-</v>
      </c>
      <c r="N33" s="58" t="str">
        <f>IFERROR(INDEX(Dataset!AJ:AJ,MATCH(_xlfn.AGGREGATE(14,6,Dataset!I:I/(Dataset!F:F=$D$11),K33),Dataset!I:I,0),1),"-")</f>
        <v>-</v>
      </c>
      <c r="O33" s="58" t="str">
        <f>IFERROR(INDEX(Dataset!I:I,MATCH(_xlfn.AGGREGATE(14,6,Dataset!I:I/(Dataset!F:F=$D$11),K33),Dataset!I:I,0),1),"-")</f>
        <v>-</v>
      </c>
      <c r="P33" s="58" t="e">
        <f>IFERROR(INDEX(Dataset!R:R,MATCH(_xlfn.AGGREGATE(14,6,Dataset!I:I/(Dataset!F:F=$D$11),K33),Dataset!I:I,0),1),"-")/100</f>
        <v>#VALUE!</v>
      </c>
      <c r="Q33" s="58" t="str">
        <f>IFERROR(INDEX(Dataset!AA:AA,MATCH(_xlfn.AGGREGATE(14,6,Dataset!I:I/(Dataset!F:F=$D$11),K33),Dataset!I:I,0),1),"-")</f>
        <v>-</v>
      </c>
      <c r="R33" s="60" t="str">
        <f>IFERROR(INDEX(Dataset!J:J,MATCH(_xlfn.AGGREGATE(14,6,Dataset!I:I/(Dataset!F:F=$D$11),K33),Dataset!I:I,0),1),"-")</f>
        <v>-</v>
      </c>
    </row>
    <row r="34" spans="3:34" ht="45.75" customHeight="1" x14ac:dyDescent="0.5">
      <c r="C34" s="57" t="s">
        <v>30</v>
      </c>
      <c r="D34" s="58">
        <f>SUMIFS(Dataset!AK:AK,Dataset!F:F,'credito latam'!$D$11,Dataset!T:T,$C34)</f>
        <v>0</v>
      </c>
      <c r="E34" s="58">
        <f>SUMIFS(Dataset!AJ:AJ,Dataset!F:F,'credito latam'!$D$11,Dataset!T:T,$C34)</f>
        <v>0</v>
      </c>
      <c r="F34" s="59">
        <f>SUMIFS(Dataset!V:V,Dataset!F:F,'credito latam'!$D$11,Dataset!T:T,$C34)/1000000</f>
        <v>0</v>
      </c>
      <c r="G34" s="58">
        <f>SUMIFS(Dataset!I:I,Dataset!F:F,'credito latam'!$D$11,Dataset!T:T,$C34)</f>
        <v>0</v>
      </c>
      <c r="H34" s="58">
        <f>SUMIFS(Dataset!AA:AA,Dataset!F:F,'credito latam'!$D$11,Dataset!T:T,$C34)</f>
        <v>0</v>
      </c>
      <c r="K34" s="61">
        <v>3</v>
      </c>
      <c r="L34" s="58" t="str">
        <f>IFERROR(INDEX(Dataset!W:W,MATCH(_xlfn.AGGREGATE(14,6,Dataset!I:I/(Dataset!F:F=$D$11),K34),Dataset!I:I,0),1),"-")</f>
        <v>-</v>
      </c>
      <c r="M34" s="58" t="str">
        <f>IFERROR(INDEX(Dataset!AK:AK,MATCH(_xlfn.AGGREGATE(14,6,Dataset!I:I/(Dataset!F:F=$D$11),K34),Dataset!I:I,0),1),"-")</f>
        <v>-</v>
      </c>
      <c r="N34" s="58" t="str">
        <f>IFERROR(INDEX(Dataset!AJ:AJ,MATCH(_xlfn.AGGREGATE(14,6,Dataset!I:I/(Dataset!F:F=$D$11),K34),Dataset!I:I,0),1),"-")</f>
        <v>-</v>
      </c>
      <c r="O34" s="58" t="str">
        <f>IFERROR(INDEX(Dataset!I:I,MATCH(_xlfn.AGGREGATE(14,6,Dataset!I:I/(Dataset!F:F=$D$11),K34),Dataset!I:I,0),1),"-")</f>
        <v>-</v>
      </c>
      <c r="P34" s="58" t="e">
        <f>IFERROR(INDEX(Dataset!R:R,MATCH(_xlfn.AGGREGATE(14,6,Dataset!I:I/(Dataset!F:F=$D$11),K34),Dataset!I:I,0),1),"-")/100</f>
        <v>#VALUE!</v>
      </c>
      <c r="Q34" s="58" t="str">
        <f>IFERROR(INDEX(Dataset!AA:AA,MATCH(_xlfn.AGGREGATE(14,6,Dataset!I:I/(Dataset!F:F=$D$11),K34),Dataset!I:I,0),1),"-")</f>
        <v>-</v>
      </c>
      <c r="R34" s="60" t="str">
        <f>IFERROR(INDEX(Dataset!J:J,MATCH(_xlfn.AGGREGATE(14,6,Dataset!I:I/(Dataset!F:F=$D$11),K34),Dataset!I:I,0),1),"-")</f>
        <v>-</v>
      </c>
    </row>
    <row r="35" spans="3:34" ht="33" customHeight="1" x14ac:dyDescent="0.5">
      <c r="C35" s="57" t="s">
        <v>47</v>
      </c>
      <c r="D35" s="58">
        <f>SUMIFS(Dataset!AK:AK,Dataset!F:F,'credito latam'!$D$11,Dataset!T:T,$C35)</f>
        <v>0</v>
      </c>
      <c r="E35" s="58">
        <f>SUMIFS(Dataset!AJ:AJ,Dataset!F:F,'credito latam'!$D$11,Dataset!T:T,$C35)</f>
        <v>0</v>
      </c>
      <c r="F35" s="59">
        <f>SUMIFS(Dataset!V:V,Dataset!F:F,'credito latam'!$D$11,Dataset!T:T,$C35)/1000000</f>
        <v>0</v>
      </c>
      <c r="G35" s="58">
        <f>SUMIFS(Dataset!I:I,Dataset!F:F,'credito latam'!$D$11,Dataset!T:T,$C35)</f>
        <v>0</v>
      </c>
      <c r="H35" s="58">
        <f>SUMIFS(Dataset!AA:AA,Dataset!F:F,'credito latam'!$D$11,Dataset!T:T,$C35)</f>
        <v>0</v>
      </c>
      <c r="K35" s="61">
        <v>4</v>
      </c>
      <c r="L35" s="58" t="str">
        <f>IFERROR(INDEX(Dataset!W:W,MATCH(_xlfn.AGGREGATE(14,6,Dataset!I:I/(Dataset!F:F=$D$11),K35),Dataset!I:I,0),1),"-")</f>
        <v>-</v>
      </c>
      <c r="M35" s="58" t="str">
        <f>IFERROR(INDEX(Dataset!AK:AK,MATCH(_xlfn.AGGREGATE(14,6,Dataset!I:I/(Dataset!F:F=$D$11),K35),Dataset!I:I,0),1),"-")</f>
        <v>-</v>
      </c>
      <c r="N35" s="58" t="str">
        <f>IFERROR(INDEX(Dataset!AJ:AJ,MATCH(_xlfn.AGGREGATE(14,6,Dataset!I:I/(Dataset!F:F=$D$11),K35),Dataset!I:I,0),1),"-")</f>
        <v>-</v>
      </c>
      <c r="O35" s="58" t="str">
        <f>IFERROR(INDEX(Dataset!I:I,MATCH(_xlfn.AGGREGATE(14,6,Dataset!I:I/(Dataset!F:F=$D$11),K35),Dataset!I:I,0),1),"-")</f>
        <v>-</v>
      </c>
      <c r="P35" s="58" t="e">
        <f>IFERROR(INDEX(Dataset!R:R,MATCH(_xlfn.AGGREGATE(14,6,Dataset!I:I/(Dataset!F:F=$D$11),K35),Dataset!I:I,0),1),"-")/100</f>
        <v>#VALUE!</v>
      </c>
      <c r="Q35" s="58" t="str">
        <f>IFERROR(INDEX(Dataset!AA:AA,MATCH(_xlfn.AGGREGATE(14,6,Dataset!I:I/(Dataset!F:F=$D$11),K35),Dataset!I:I,0),1),"-")</f>
        <v>-</v>
      </c>
      <c r="R35" s="60" t="str">
        <f>IFERROR(INDEX(Dataset!J:J,MATCH(_xlfn.AGGREGATE(14,6,Dataset!I:I/(Dataset!F:F=$D$11),K35),Dataset!I:I,0),1),"-")</f>
        <v>-</v>
      </c>
    </row>
    <row r="36" spans="3:34" ht="33" customHeight="1" x14ac:dyDescent="0.5">
      <c r="C36" s="65" t="s">
        <v>62</v>
      </c>
      <c r="D36" s="66">
        <f>SUM(D32:D35)</f>
        <v>0</v>
      </c>
      <c r="E36" s="66">
        <f>SUM(E32:E35)</f>
        <v>0</v>
      </c>
      <c r="F36" s="67">
        <f>SUM(F32:F35)</f>
        <v>0</v>
      </c>
      <c r="G36" s="66">
        <f>SUM(G32:G35)</f>
        <v>0</v>
      </c>
      <c r="H36" s="66">
        <f>SUM(H32:H35)</f>
        <v>0</v>
      </c>
      <c r="K36" s="61">
        <v>5</v>
      </c>
      <c r="L36" s="58" t="str">
        <f>IFERROR(INDEX(Dataset!W:W,MATCH(_xlfn.AGGREGATE(14,6,Dataset!I:I/(Dataset!F:F=$D$11),K36),Dataset!I:I,0),1),"-")</f>
        <v>-</v>
      </c>
      <c r="M36" s="58" t="str">
        <f>IFERROR(INDEX(Dataset!AK:AK,MATCH(_xlfn.AGGREGATE(14,6,Dataset!I:I/(Dataset!F:F=$D$11),K36),Dataset!I:I,0),1),"-")</f>
        <v>-</v>
      </c>
      <c r="N36" s="58" t="str">
        <f>IFERROR(INDEX(Dataset!AJ:AJ,MATCH(_xlfn.AGGREGATE(14,6,Dataset!I:I/(Dataset!F:F=$D$11),K36),Dataset!I:I,0),1),"-")</f>
        <v>-</v>
      </c>
      <c r="O36" s="58" t="str">
        <f>IFERROR(INDEX(Dataset!I:I,MATCH(_xlfn.AGGREGATE(14,6,Dataset!I:I/(Dataset!F:F=$D$11),K36),Dataset!I:I,0),1),"-")</f>
        <v>-</v>
      </c>
      <c r="P36" s="58" t="e">
        <f>IFERROR(INDEX(Dataset!R:R,MATCH(_xlfn.AGGREGATE(14,6,Dataset!I:I/(Dataset!F:F=$D$11),K36),Dataset!I:I,0),1),"-")/100</f>
        <v>#VALUE!</v>
      </c>
      <c r="Q36" s="58" t="str">
        <f>IFERROR(INDEX(Dataset!AA:AA,MATCH(_xlfn.AGGREGATE(14,6,Dataset!I:I/(Dataset!F:F=$D$11),K36),Dataset!I:I,0),1),"-")</f>
        <v>-</v>
      </c>
      <c r="R36" s="60" t="str">
        <f>IFERROR(INDEX(Dataset!J:J,MATCH(_xlfn.AGGREGATE(14,6,Dataset!I:I/(Dataset!F:F=$D$11),K36),Dataset!I:I,0),1),"-")</f>
        <v>-</v>
      </c>
    </row>
    <row r="37" spans="3:34" ht="33" customHeight="1" x14ac:dyDescent="0.5">
      <c r="J37" s="22" t="s">
        <v>133</v>
      </c>
      <c r="K37" s="61">
        <v>6</v>
      </c>
      <c r="L37" s="58" t="str">
        <f>IFERROR(INDEX(Dataset!W:W,MATCH(_xlfn.AGGREGATE(14,6,Dataset!I:I/(Dataset!F:F=$D$11),K37),Dataset!I:I,0),1),"-")</f>
        <v>-</v>
      </c>
      <c r="M37" s="58" t="str">
        <f>IFERROR(INDEX(Dataset!AK:AK,MATCH(_xlfn.AGGREGATE(14,6,Dataset!I:I/(Dataset!F:F=$D$11),K37),Dataset!I:I,0),1),"-")</f>
        <v>-</v>
      </c>
      <c r="N37" s="58" t="str">
        <f>IFERROR(INDEX(Dataset!AJ:AJ,MATCH(_xlfn.AGGREGATE(14,6,Dataset!I:I/(Dataset!F:F=$D$11),K37),Dataset!I:I,0),1),"-")</f>
        <v>-</v>
      </c>
      <c r="O37" s="58" t="str">
        <f>IFERROR(INDEX(Dataset!I:I,MATCH(_xlfn.AGGREGATE(14,6,Dataset!I:I/(Dataset!F:F=$D$11),K37),Dataset!I:I,0),1),"-")</f>
        <v>-</v>
      </c>
      <c r="P37" s="58" t="e">
        <f>IFERROR(INDEX(Dataset!R:R,MATCH(_xlfn.AGGREGATE(14,6,Dataset!I:I/(Dataset!F:F=$D$11),K37),Dataset!I:I,0),1),"-")/100</f>
        <v>#VALUE!</v>
      </c>
      <c r="Q37" s="58" t="str">
        <f>IFERROR(INDEX(Dataset!AA:AA,MATCH(_xlfn.AGGREGATE(14,6,Dataset!I:I/(Dataset!F:F=$D$11),K37),Dataset!I:I,0),1),"-")</f>
        <v>-</v>
      </c>
      <c r="R37" s="60" t="str">
        <f>IFERROR(INDEX(Dataset!J:J,MATCH(_xlfn.AGGREGATE(14,6,Dataset!I:I/(Dataset!F:F=$D$11),K37),Dataset!I:I,0),1),"-")</f>
        <v>-</v>
      </c>
    </row>
    <row r="38" spans="3:34" ht="33" customHeight="1" x14ac:dyDescent="0.5">
      <c r="K38" s="61">
        <v>7</v>
      </c>
      <c r="L38" s="58" t="str">
        <f>IFERROR(INDEX(Dataset!W:W,MATCH(_xlfn.AGGREGATE(14,6,Dataset!I:I/(Dataset!F:F=$D$11),K38),Dataset!I:I,0),1),"-")</f>
        <v>-</v>
      </c>
      <c r="M38" s="58" t="str">
        <f>IFERROR(INDEX(Dataset!AK:AK,MATCH(_xlfn.AGGREGATE(14,6,Dataset!I:I/(Dataset!F:F=$D$11),K38),Dataset!I:I,0),1),"-")</f>
        <v>-</v>
      </c>
      <c r="N38" s="58" t="str">
        <f>IFERROR(INDEX(Dataset!AJ:AJ,MATCH(_xlfn.AGGREGATE(14,6,Dataset!I:I/(Dataset!F:F=$D$11),K38),Dataset!I:I,0),1),"-")</f>
        <v>-</v>
      </c>
      <c r="O38" s="58" t="str">
        <f>IFERROR(INDEX(Dataset!I:I,MATCH(_xlfn.AGGREGATE(14,6,Dataset!I:I/(Dataset!F:F=$D$11),K38),Dataset!I:I,0),1),"-")</f>
        <v>-</v>
      </c>
      <c r="P38" s="58" t="e">
        <f>IFERROR(INDEX(Dataset!R:R,MATCH(_xlfn.AGGREGATE(14,6,Dataset!I:I/(Dataset!F:F=$D$11),K38),Dataset!I:I,0),1),"-")/100</f>
        <v>#VALUE!</v>
      </c>
      <c r="Q38" s="58" t="str">
        <f>IFERROR(INDEX(Dataset!AA:AA,MATCH(_xlfn.AGGREGATE(14,6,Dataset!I:I/(Dataset!F:F=$D$11),K38),Dataset!I:I,0),1),"-")</f>
        <v>-</v>
      </c>
      <c r="R38" s="60" t="str">
        <f>IFERROR(INDEX(Dataset!J:J,MATCH(_xlfn.AGGREGATE(14,6,Dataset!I:I/(Dataset!F:F=$D$11),K38),Dataset!I:I,0),1),"-")</f>
        <v>-</v>
      </c>
    </row>
    <row r="39" spans="3:34" ht="33" customHeight="1" x14ac:dyDescent="0.5">
      <c r="K39" s="61">
        <v>8</v>
      </c>
      <c r="L39" s="58" t="str">
        <f>IFERROR(INDEX(Dataset!W:W,MATCH(_xlfn.AGGREGATE(14,6,Dataset!I:I/(Dataset!F:F=$D$11),K39),Dataset!I:I,0),1),"-")</f>
        <v>-</v>
      </c>
      <c r="M39" s="58" t="str">
        <f>IFERROR(INDEX(Dataset!AK:AK,MATCH(_xlfn.AGGREGATE(14,6,Dataset!I:I/(Dataset!F:F=$D$11),K39),Dataset!I:I,0),1),"-")</f>
        <v>-</v>
      </c>
      <c r="N39" s="58" t="str">
        <f>IFERROR(INDEX(Dataset!AJ:AJ,MATCH(_xlfn.AGGREGATE(14,6,Dataset!I:I/(Dataset!F:F=$D$11),K39),Dataset!I:I,0),1),"-")</f>
        <v>-</v>
      </c>
      <c r="O39" s="58" t="str">
        <f>IFERROR(INDEX(Dataset!I:I,MATCH(_xlfn.AGGREGATE(14,6,Dataset!I:I/(Dataset!F:F=$D$11),K39),Dataset!I:I,0),1),"-")</f>
        <v>-</v>
      </c>
      <c r="P39" s="58" t="e">
        <f>IFERROR(INDEX(Dataset!R:R,MATCH(_xlfn.AGGREGATE(14,6,Dataset!I:I/(Dataset!F:F=$D$11),K39),Dataset!I:I,0),1),"-")/100</f>
        <v>#VALUE!</v>
      </c>
      <c r="Q39" s="58" t="str">
        <f>IFERROR(INDEX(Dataset!AA:AA,MATCH(_xlfn.AGGREGATE(14,6,Dataset!I:I/(Dataset!F:F=$D$11),K39),Dataset!I:I,0),1),"-")</f>
        <v>-</v>
      </c>
      <c r="R39" s="60" t="str">
        <f>IFERROR(INDEX(Dataset!J:J,MATCH(_xlfn.AGGREGATE(14,6,Dataset!I:I/(Dataset!F:F=$D$11),K39),Dataset!I:I,0),1),"-")</f>
        <v>-</v>
      </c>
    </row>
    <row r="40" spans="3:34" ht="33" customHeight="1" x14ac:dyDescent="0.5">
      <c r="K40" s="61">
        <v>9</v>
      </c>
      <c r="L40" s="58" t="str">
        <f>IFERROR(INDEX(Dataset!W:W,MATCH(_xlfn.AGGREGATE(14,6,Dataset!I:I/(Dataset!F:F=$D$11),K40),Dataset!I:I,0),1),"-")</f>
        <v>-</v>
      </c>
      <c r="M40" s="58" t="str">
        <f>IFERROR(INDEX(Dataset!AK:AK,MATCH(_xlfn.AGGREGATE(14,6,Dataset!I:I/(Dataset!F:F=$D$11),K40),Dataset!I:I,0),1),"-")</f>
        <v>-</v>
      </c>
      <c r="N40" s="58" t="str">
        <f>IFERROR(INDEX(Dataset!AJ:AJ,MATCH(_xlfn.AGGREGATE(14,6,Dataset!I:I/(Dataset!F:F=$D$11),K40),Dataset!I:I,0),1),"-")</f>
        <v>-</v>
      </c>
      <c r="O40" s="58" t="str">
        <f>IFERROR(INDEX(Dataset!I:I,MATCH(_xlfn.AGGREGATE(14,6,Dataset!I:I/(Dataset!F:F=$D$11),K40),Dataset!I:I,0),1),"-")</f>
        <v>-</v>
      </c>
      <c r="P40" s="58" t="e">
        <f>IFERROR(INDEX(Dataset!R:R,MATCH(_xlfn.AGGREGATE(14,6,Dataset!I:I/(Dataset!F:F=$D$11),K40),Dataset!I:I,0),1),"-")/100</f>
        <v>#VALUE!</v>
      </c>
      <c r="Q40" s="58" t="str">
        <f>IFERROR(INDEX(Dataset!AA:AA,MATCH(_xlfn.AGGREGATE(14,6,Dataset!I:I/(Dataset!F:F=$D$11),K40),Dataset!I:I,0),1),"-")</f>
        <v>-</v>
      </c>
      <c r="R40" s="60" t="str">
        <f>IFERROR(INDEX(Dataset!J:J,MATCH(_xlfn.AGGREGATE(14,6,Dataset!I:I/(Dataset!F:F=$D$11),K40),Dataset!I:I,0),1),"-")</f>
        <v>-</v>
      </c>
    </row>
    <row r="41" spans="3:34" ht="60" customHeight="1" x14ac:dyDescent="0.5">
      <c r="I41" s="52"/>
      <c r="J41" s="52"/>
      <c r="K41" s="61">
        <v>10</v>
      </c>
      <c r="L41" s="58" t="str">
        <f>IFERROR(INDEX(Dataset!W:W,MATCH(_xlfn.AGGREGATE(14,6,Dataset!I:I/(Dataset!F:F=$D$11),K41),Dataset!I:I,0),1),"-")</f>
        <v>-</v>
      </c>
      <c r="M41" s="58" t="str">
        <f>IFERROR(INDEX(Dataset!AK:AK,MATCH(_xlfn.AGGREGATE(14,6,Dataset!I:I/(Dataset!F:F=$D$11),K41),Dataset!I:I,0),1),"-")</f>
        <v>-</v>
      </c>
      <c r="N41" s="58" t="str">
        <f>IFERROR(INDEX(Dataset!AJ:AJ,MATCH(_xlfn.AGGREGATE(14,6,Dataset!I:I/(Dataset!F:F=$D$11),K41),Dataset!I:I,0),1),"-")</f>
        <v>-</v>
      </c>
      <c r="O41" s="58" t="str">
        <f>IFERROR(INDEX(Dataset!I:I,MATCH(_xlfn.AGGREGATE(14,6,Dataset!I:I/(Dataset!F:F=$D$11),K41),Dataset!I:I,0),1),"-")</f>
        <v>-</v>
      </c>
      <c r="P41" s="58" t="e">
        <f>IFERROR(INDEX(Dataset!R:R,MATCH(_xlfn.AGGREGATE(14,6,Dataset!I:I/(Dataset!F:F=$D$11),K41),Dataset!I:I,0),1),"-")/100</f>
        <v>#VALUE!</v>
      </c>
      <c r="Q41" s="58" t="str">
        <f>IFERROR(INDEX(Dataset!AA:AA,MATCH(_xlfn.AGGREGATE(14,6,Dataset!I:I/(Dataset!F:F=$D$11),K41),Dataset!I:I,0),1),"-")</f>
        <v>-</v>
      </c>
      <c r="R41" s="60" t="str">
        <f>IFERROR(INDEX(Dataset!J:J,MATCH(_xlfn.AGGREGATE(14,6,Dataset!I:I/(Dataset!F:F=$D$11),K41),Dataset!I:I,0),1),"-")</f>
        <v>-</v>
      </c>
      <c r="S41" s="52"/>
      <c r="T41" s="52"/>
      <c r="U41" s="52"/>
      <c r="V41" s="52"/>
      <c r="W41" s="52"/>
      <c r="X41" s="52"/>
      <c r="Y41" s="52"/>
    </row>
    <row r="42" spans="3:34" ht="60" customHeight="1" x14ac:dyDescent="0.3">
      <c r="E42" s="176" t="s">
        <v>233</v>
      </c>
      <c r="F42" s="176"/>
      <c r="G42" s="176"/>
      <c r="H42" s="176"/>
      <c r="I42" s="176"/>
      <c r="J42" s="176"/>
      <c r="K42" s="176"/>
      <c r="L42" s="50"/>
      <c r="M42" s="176" t="s">
        <v>225</v>
      </c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50"/>
      <c r="AA42" s="176" t="s">
        <v>234</v>
      </c>
      <c r="AB42" s="176"/>
      <c r="AC42" s="176"/>
      <c r="AD42" s="176"/>
      <c r="AE42" s="176"/>
      <c r="AF42" s="176"/>
      <c r="AG42" s="176"/>
    </row>
    <row r="43" spans="3:34" ht="15" customHeight="1" x14ac:dyDescent="0.3"/>
    <row r="44" spans="3:34" ht="27" customHeight="1" x14ac:dyDescent="0.3">
      <c r="C44" s="177" t="s">
        <v>68</v>
      </c>
      <c r="D44" s="177"/>
      <c r="E44" s="94" t="s">
        <v>31</v>
      </c>
      <c r="F44" s="94" t="s">
        <v>141</v>
      </c>
      <c r="G44" s="94" t="s">
        <v>139</v>
      </c>
      <c r="H44" s="94" t="s">
        <v>143</v>
      </c>
      <c r="I44" s="94" t="s">
        <v>153</v>
      </c>
      <c r="J44" s="94" t="s">
        <v>154</v>
      </c>
      <c r="K44" s="94" t="s">
        <v>79</v>
      </c>
      <c r="L44" s="94"/>
      <c r="M44" s="94" t="s">
        <v>42</v>
      </c>
      <c r="N44" s="94" t="s">
        <v>33</v>
      </c>
      <c r="O44" s="94" t="s">
        <v>138</v>
      </c>
      <c r="P44" s="94" t="s">
        <v>51</v>
      </c>
      <c r="Q44" s="94" t="s">
        <v>146</v>
      </c>
      <c r="R44" s="94" t="s">
        <v>144</v>
      </c>
      <c r="S44" s="94" t="s">
        <v>50</v>
      </c>
      <c r="T44" s="94" t="s">
        <v>142</v>
      </c>
      <c r="U44" s="94" t="s">
        <v>145</v>
      </c>
      <c r="V44" s="94" t="s">
        <v>140</v>
      </c>
      <c r="W44" s="94" t="s">
        <v>150</v>
      </c>
      <c r="X44" s="94" t="s">
        <v>155</v>
      </c>
      <c r="Y44" s="94" t="s">
        <v>46</v>
      </c>
      <c r="Z44" s="94"/>
      <c r="AA44" s="94" t="s">
        <v>31</v>
      </c>
      <c r="AB44" s="94" t="s">
        <v>141</v>
      </c>
      <c r="AC44" s="94" t="s">
        <v>139</v>
      </c>
      <c r="AD44" s="94" t="s">
        <v>143</v>
      </c>
      <c r="AE44" s="94" t="s">
        <v>153</v>
      </c>
      <c r="AF44" s="94" t="s">
        <v>154</v>
      </c>
      <c r="AG44" s="94" t="s">
        <v>79</v>
      </c>
      <c r="AH44" s="94"/>
    </row>
    <row r="45" spans="3:34" ht="38.25" customHeight="1" x14ac:dyDescent="0.3">
      <c r="C45" s="72">
        <v>0</v>
      </c>
      <c r="D45" s="73">
        <v>0.5</v>
      </c>
      <c r="E45" s="109">
        <f>SUMIFS(Dataset!$AK:$AK,Dataset!$F:$F,'credito latam'!$D$11,Dataset!$Z:$Z,E$44,Dataset!$J:$J,"&lt;"&amp;$D45,Dataset!$J:$J,"&gt;="&amp;$C45)</f>
        <v>0</v>
      </c>
      <c r="F45" s="98">
        <f>SUMIFS(Dataset!$AK:$AK,Dataset!$F:$F,'credito latam'!$D$11,Dataset!$Z:$Z,F$44,Dataset!$J:$J,"&lt;"&amp;$D45,Dataset!$J:$J,"&gt;="&amp;$C45)</f>
        <v>0</v>
      </c>
      <c r="G45" s="98">
        <f>SUMIFS(Dataset!$AK:$AK,Dataset!$F:$F,'credito latam'!$D$11,Dataset!$Z:$Z,G$44,Dataset!$J:$J,"&lt;"&amp;$D45,Dataset!$J:$J,"&gt;="&amp;$C45)</f>
        <v>0</v>
      </c>
      <c r="H45" s="98">
        <f>SUMIFS(Dataset!$AK:$AK,Dataset!$F:$F,'credito latam'!$D$11,Dataset!$Z:$Z,H$44,Dataset!$J:$J,"&lt;"&amp;$D45,Dataset!$J:$J,"&gt;="&amp;$C45)</f>
        <v>0</v>
      </c>
      <c r="I45" s="98">
        <f>SUMIFS(Dataset!$AK:$AK,Dataset!$F:$F,'credito latam'!$D$11,Dataset!$Z:$Z,I$44,Dataset!$J:$J,"&lt;"&amp;$D45,Dataset!$J:$J,"&gt;="&amp;$C45)</f>
        <v>0</v>
      </c>
      <c r="J45" s="98">
        <f>SUMIFS(Dataset!$AK:$AK,Dataset!$F:$F,'credito latam'!$D$11,Dataset!$Z:$Z,J$44,Dataset!$J:$J,"&lt;"&amp;$D45,Dataset!$J:$J,"&gt;="&amp;$C45)</f>
        <v>0</v>
      </c>
      <c r="K45" s="99">
        <f>SUMIFS(Dataset!$AK:$AK,Dataset!$F:$F,'credito latam'!$D$11,Dataset!$J:$J,"&lt;"&amp;$D45,Dataset!J:J,"&gt;="&amp;$C45,Dataset!$Z:$Z,"&lt;&gt;CL",Dataset!$Z:$Z,"&lt;&gt;MX",Dataset!$Z:$Z,"&lt;&gt;CO",Dataset!$Z:$Z,"&lt;&gt;PE",Dataset!$Z:$Z,"&lt;&gt;BR",Dataset!$Z:$Z,"&lt;&gt;PA")</f>
        <v>0</v>
      </c>
      <c r="L45" s="84">
        <f t="shared" ref="L45:L61" si="1">SUM(E45:K45)</f>
        <v>0</v>
      </c>
      <c r="M45" s="109">
        <f>SUMIFS(Dataset!$AK:$AK,Dataset!$F:$F,'credito latam'!$D$11,Dataset!$AN:$AN,"*AAA*",Dataset!$J:$J,"&lt;"&amp;$D45,Dataset!$J:$J,"&gt;="&amp;$C45)</f>
        <v>0</v>
      </c>
      <c r="N45" s="98">
        <f>SUMIFS(Dataset!$AK:$AK,Dataset!$F:$F,'credito latam'!$D$11,Dataset!$AN:$AN,"AA+",Dataset!$J:$J,"&lt;"&amp;$D45,Dataset!$J:$J,"&gt;="&amp;$C45)+SUMIFS(Dataset!$AK:$AK,Dataset!$F:$F,'credito latam'!$D$11,Dataset!$AN:$AN,"AA",Dataset!$J:$J,"&lt;"&amp;$D45,Dataset!$J:$J,"&gt;="&amp;$C45)+SUMIFS(Dataset!$AK:$AK,Dataset!$F:$F,'credito latam'!$D$11,Dataset!$AN:$AN,"AA-",Dataset!$J:$J,"&lt;"&amp;$D45,Dataset!$J:$J,"&gt;="&amp;$C45)</f>
        <v>0</v>
      </c>
      <c r="O45" s="98">
        <f>SUMIFS(Dataset!$AK:$AK,Dataset!$F:$F,'credito latam'!$D$11,Dataset!$AN:$AN,O$44,Dataset!$J:$J,"&lt;"&amp;$D45,Dataset!$J:$J,"&gt;="&amp;$C45)</f>
        <v>0</v>
      </c>
      <c r="P45" s="98">
        <f>SUMIFS(Dataset!$AK:$AK,Dataset!$F:$F,'credito latam'!$D$11,Dataset!$AN:$AN,P$44,Dataset!$J:$J,"&lt;"&amp;$D45,Dataset!$J:$J,"&gt;="&amp;$C45)</f>
        <v>0</v>
      </c>
      <c r="Q45" s="98">
        <f>SUMIFS(Dataset!$AK:$AK,Dataset!$F:$F,'credito latam'!$D$11,Dataset!$AN:$AN,Q$44,Dataset!$J:$J,"&lt;"&amp;$D45,Dataset!$J:$J,"&gt;="&amp;$C45)</f>
        <v>0</v>
      </c>
      <c r="R45" s="98">
        <f>SUMIFS(Dataset!$AK:$AK,Dataset!$F:$F,'credito latam'!$D$11,Dataset!$AN:$AN,R$44,Dataset!$J:$J,"&lt;"&amp;$D45,Dataset!$J:$J,"&gt;="&amp;$C45)</f>
        <v>0</v>
      </c>
      <c r="S45" s="98">
        <f>SUMIFS(Dataset!$AK:$AK,Dataset!$F:$F,'credito latam'!$D$11,Dataset!$AN:$AN,S$44,Dataset!$J:$J,"&lt;"&amp;$D45,Dataset!$J:$J,"&gt;="&amp;$C45)</f>
        <v>0</v>
      </c>
      <c r="T45" s="98">
        <f>SUMIFS(Dataset!$AK:$AK,Dataset!$F:$F,'credito latam'!$D$11,Dataset!$AN:$AN,T$44,Dataset!$J:$J,"&lt;"&amp;$D45,Dataset!$J:$J,"&gt;="&amp;$C45)</f>
        <v>0</v>
      </c>
      <c r="U45" s="98">
        <f>SUMIFS(Dataset!$AK:$AK,Dataset!$F:$F,'credito latam'!$D$11,Dataset!$AN:$AN,U$44,Dataset!$J:$J,"&lt;"&amp;$D45,Dataset!$J:$J,"&gt;="&amp;$C45)</f>
        <v>0</v>
      </c>
      <c r="V45" s="98">
        <f>SUMIFS(Dataset!$AK:$AK,Dataset!$F:$F,'credito latam'!$D$11,Dataset!$AN:$AN,V$44,Dataset!$J:$J,"&lt;"&amp;$D45,Dataset!$J:$J,"&gt;="&amp;$C45)</f>
        <v>0</v>
      </c>
      <c r="W45" s="98">
        <f>SUMIFS(Dataset!$AK:$AK,Dataset!$F:$F,'credito latam'!$D$11,Dataset!$AN:$AN,W$44,Dataset!$J:$J,"&lt;"&amp;$D45,Dataset!$J:$J,"&gt;="&amp;$C45)</f>
        <v>0</v>
      </c>
      <c r="X45" s="98">
        <f>SUMIFS(Dataset!$AK:$AK,Dataset!$F:$F,'credito latam'!$D$11,Dataset!$AN:$AN,"B-",Dataset!$J:$J,"&lt;"&amp;$D45,Dataset!$J:$J,"&gt;="&amp;$C45)+SUMIFS(Dataset!$AK:$AK,Dataset!$F:$F,'credito latam'!$D$11,Dataset!$AN:$AN,"B",Dataset!$J:$J,"&lt;"&amp;$D45,Dataset!$J:$J,"&gt;="&amp;$C45)+SUMIFS(Dataset!$AK:$AK,Dataset!$F:$F,'credito latam'!$D$11,Dataset!$AN:$AN,"B+",Dataset!$J:$J,"&lt;"&amp;$D45,Dataset!$J:$J,"&gt;="&amp;$C45)</f>
        <v>0</v>
      </c>
      <c r="Y45" s="99">
        <f>SUMIFS(Dataset!$AK:$AK,Dataset!$F:$F,'credito latam'!$D$11,Dataset!$AN:$AN,Y$44,Dataset!$J:$J,"&lt;"&amp;$D45,Dataset!$J:$J,"&gt;="&amp;$C45)</f>
        <v>0</v>
      </c>
      <c r="Z45" s="84">
        <f t="shared" ref="Z45:Z61" si="2">SUM(M45:Y45)</f>
        <v>0</v>
      </c>
      <c r="AA45" s="110">
        <f>(SUMIFS(Dataset!$H:$H,Dataset!$F:$F,'credito latam'!$D$11,Dataset!$Z:$Z,AA$44,Dataset!$J:$J,"&lt;"&amp;$D45,Dataset!$J:$J,"&gt;="&amp;$C45))*10</f>
        <v>0</v>
      </c>
      <c r="AB45" s="111">
        <f>(SUMIFS(Dataset!$H:$H,Dataset!$F:$F,'credito latam'!$D$11,Dataset!$Z:$Z,AB$44,Dataset!$J:$J,"&lt;"&amp;$D45,Dataset!$J:$J,"&gt;="&amp;$C45))*10</f>
        <v>0</v>
      </c>
      <c r="AC45" s="111">
        <f>(SUMIFS(Dataset!$H:$H,Dataset!$F:$F,'credito latam'!$D$11,Dataset!$Z:$Z,AC$44,Dataset!$J:$J,"&lt;"&amp;$D45,Dataset!$J:$J,"&gt;="&amp;$C45))*10</f>
        <v>0</v>
      </c>
      <c r="AD45" s="111">
        <f>(SUMIFS(Dataset!$H:$H,Dataset!$F:$F,'credito latam'!$D$11,Dataset!$Z:$Z,AD$44,Dataset!$J:$J,"&lt;"&amp;$D45,Dataset!$J:$J,"&gt;="&amp;$C45))*10</f>
        <v>0</v>
      </c>
      <c r="AE45" s="111">
        <f>(SUMIFS(Dataset!$H:$H,Dataset!$F:$F,'credito latam'!$D$11,Dataset!$Z:$Z,AE$44,Dataset!$J:$J,"&lt;"&amp;$D45,Dataset!$J:$J,"&gt;="&amp;$C45))*10</f>
        <v>0</v>
      </c>
      <c r="AF45" s="111">
        <f>(SUMIFS(Dataset!$H:$H,Dataset!$F:$F,'credito latam'!$D$11,Dataset!$Z:$Z,AF$44,Dataset!$J:$J,"&lt;"&amp;$D45,Dataset!$J:$J,"&gt;="&amp;$C45))*10</f>
        <v>0</v>
      </c>
      <c r="AG45" s="112">
        <f>SUMIFS(Dataset!$H:$H,Dataset!$F:$F,'credito latam'!$D$11,Dataset!$J:$J,"&lt;"&amp;$D45,Dataset!J:J,"&gt;="&amp;$C45,Dataset!$Z:$Z,"&lt;&gt;CL",Dataset!$Z:$Z,"&lt;&gt;MX",Dataset!$Z:$Z,"&lt;&gt;CO",Dataset!$Z:$Z,"&lt;&gt;PE",Dataset!$Z:$Z,"&lt;&gt;BR",Dataset!$Z:$Z,"&lt;&gt;CI",Dataset!$Z:$Z,"&lt;&gt;PA")*10</f>
        <v>0</v>
      </c>
      <c r="AH45" s="87">
        <f t="shared" ref="AH45:AH61" si="3">SUM(AA45:AG45)</f>
        <v>0</v>
      </c>
    </row>
    <row r="46" spans="3:34" ht="27" customHeight="1" x14ac:dyDescent="0.3">
      <c r="C46" s="61">
        <v>0.5</v>
      </c>
      <c r="D46" s="81">
        <v>1.5</v>
      </c>
      <c r="E46" s="113">
        <f>SUMIFS(Dataset!$AK:$AK,Dataset!$F:$F,'credito latam'!$D$11,Dataset!$Z:$Z,E$44,Dataset!$J:$J,"&lt;"&amp;$D46,Dataset!$J:$J,"&gt;="&amp;$C46)</f>
        <v>0</v>
      </c>
      <c r="F46" s="83">
        <f>SUMIFS(Dataset!$AK:$AK,Dataset!$F:$F,'credito latam'!$D$11,Dataset!$Z:$Z,F$44,Dataset!$J:$J,"&lt;"&amp;$D46,Dataset!$J:$J,"&gt;="&amp;$C46)</f>
        <v>0</v>
      </c>
      <c r="G46" s="83">
        <f>SUMIFS(Dataset!$AK:$AK,Dataset!$F:$F,'credito latam'!$D$11,Dataset!$Z:$Z,G$44,Dataset!$J:$J,"&lt;"&amp;$D46,Dataset!$J:$J,"&gt;="&amp;$C46)</f>
        <v>0</v>
      </c>
      <c r="H46" s="83">
        <f>SUMIFS(Dataset!$AK:$AK,Dataset!$F:$F,'credito latam'!$D$11,Dataset!$Z:$Z,H$44,Dataset!$J:$J,"&lt;"&amp;$D46,Dataset!$J:$J,"&gt;="&amp;$C46)</f>
        <v>0</v>
      </c>
      <c r="I46" s="83">
        <f>SUMIFS(Dataset!$AK:$AK,Dataset!$F:$F,'credito latam'!$D$11,Dataset!$Z:$Z,I$44,Dataset!$J:$J,"&lt;"&amp;$D46,Dataset!$J:$J,"&gt;="&amp;$C46)</f>
        <v>0</v>
      </c>
      <c r="J46" s="83">
        <f>SUMIFS(Dataset!$AK:$AK,Dataset!$F:$F,'credito latam'!$D$11,Dataset!$Z:$Z,J$44,Dataset!$J:$J,"&lt;"&amp;$D46,Dataset!$J:$J,"&gt;="&amp;$C46)</f>
        <v>0</v>
      </c>
      <c r="K46" s="114">
        <f>SUMIFS(Dataset!$AK:$AK,Dataset!$F:$F,'credito latam'!$D$11,Dataset!$J:$J,"&lt;"&amp;$D46,Dataset!J:J,"&gt;="&amp;$C46,Dataset!$Z:$Z,"&lt;&gt;CL",Dataset!$Z:$Z,"&lt;&gt;MX",Dataset!$Z:$Z,"&lt;&gt;CO",Dataset!$Z:$Z,"&lt;&gt;PE",Dataset!$Z:$Z,"&lt;&gt;BR",Dataset!$Z:$Z,"&lt;&gt;PA")</f>
        <v>0</v>
      </c>
      <c r="L46" s="84">
        <f t="shared" si="1"/>
        <v>0</v>
      </c>
      <c r="M46" s="113">
        <f>SUMIFS(Dataset!$AK:$AK,Dataset!$F:$F,'credito latam'!$D$11,Dataset!$AN:$AN,"*AAA*",Dataset!$J:$J,"&lt;"&amp;$D46,Dataset!$J:$J,"&gt;="&amp;$C46)</f>
        <v>0</v>
      </c>
      <c r="N46" s="83">
        <f>SUMIFS(Dataset!$AK:$AK,Dataset!$F:$F,'credito latam'!$D$11,Dataset!$AN:$AN,"AA+",Dataset!$J:$J,"&lt;"&amp;$D46,Dataset!$J:$J,"&gt;="&amp;$C46)+SUMIFS(Dataset!$AK:$AK,Dataset!$F:$F,'credito latam'!$D$11,Dataset!$AN:$AN,"AA",Dataset!$J:$J,"&lt;"&amp;$D46,Dataset!$J:$J,"&gt;="&amp;$C46)+SUMIFS(Dataset!$AK:$AK,Dataset!$F:$F,'credito latam'!$D$11,Dataset!$AN:$AN,"AA-",Dataset!$J:$J,"&lt;"&amp;$D46,Dataset!$J:$J,"&gt;="&amp;$C46)</f>
        <v>0</v>
      </c>
      <c r="O46" s="83">
        <f>SUMIFS(Dataset!$AK:$AK,Dataset!$F:$F,'credito latam'!$D$11,Dataset!$AN:$AN,O$44,Dataset!$J:$J,"&lt;"&amp;$D46,Dataset!$J:$J,"&gt;="&amp;$C46)</f>
        <v>0</v>
      </c>
      <c r="P46" s="83">
        <f>SUMIFS(Dataset!$AK:$AK,Dataset!$F:$F,'credito latam'!$D$11,Dataset!$AN:$AN,P$44,Dataset!$J:$J,"&lt;"&amp;$D46,Dataset!$J:$J,"&gt;="&amp;$C46)</f>
        <v>0</v>
      </c>
      <c r="Q46" s="83">
        <f>SUMIFS(Dataset!$AK:$AK,Dataset!$F:$F,'credito latam'!$D$11,Dataset!$AN:$AN,Q$44,Dataset!$J:$J,"&lt;"&amp;$D46,Dataset!$J:$J,"&gt;="&amp;$C46)</f>
        <v>0</v>
      </c>
      <c r="R46" s="83">
        <f>SUMIFS(Dataset!$AK:$AK,Dataset!$F:$F,'credito latam'!$D$11,Dataset!$AN:$AN,R$44,Dataset!$J:$J,"&lt;"&amp;$D46,Dataset!$J:$J,"&gt;="&amp;$C46)</f>
        <v>0</v>
      </c>
      <c r="S46" s="83">
        <f>SUMIFS(Dataset!$AK:$AK,Dataset!$F:$F,'credito latam'!$D$11,Dataset!$AN:$AN,S$44,Dataset!$J:$J,"&lt;"&amp;$D46,Dataset!$J:$J,"&gt;="&amp;$C46)</f>
        <v>0</v>
      </c>
      <c r="T46" s="83">
        <f>SUMIFS(Dataset!$AK:$AK,Dataset!$F:$F,'credito latam'!$D$11,Dataset!$AN:$AN,T$44,Dataset!$J:$J,"&lt;"&amp;$D46,Dataset!$J:$J,"&gt;="&amp;$C46)</f>
        <v>0</v>
      </c>
      <c r="U46" s="83">
        <f>SUMIFS(Dataset!$AK:$AK,Dataset!$F:$F,'credito latam'!$D$11,Dataset!$AN:$AN,U$44,Dataset!$J:$J,"&lt;"&amp;$D46,Dataset!$J:$J,"&gt;="&amp;$C46)</f>
        <v>0</v>
      </c>
      <c r="V46" s="83">
        <f>SUMIFS(Dataset!$AK:$AK,Dataset!$F:$F,'credito latam'!$D$11,Dataset!$AN:$AN,V$44,Dataset!$J:$J,"&lt;"&amp;$D46,Dataset!$J:$J,"&gt;="&amp;$C46)</f>
        <v>0</v>
      </c>
      <c r="W46" s="83">
        <f>SUMIFS(Dataset!$AK:$AK,Dataset!$F:$F,'credito latam'!$D$11,Dataset!$AN:$AN,W$44,Dataset!$J:$J,"&lt;"&amp;$D46,Dataset!$J:$J,"&gt;="&amp;$C46)</f>
        <v>0</v>
      </c>
      <c r="X46" s="83">
        <f>SUMIFS(Dataset!$AK:$AK,Dataset!$F:$F,'credito latam'!$D$11,Dataset!$AN:$AN,"B-",Dataset!$J:$J,"&lt;"&amp;$D46,Dataset!$J:$J,"&gt;="&amp;$C46)+SUMIFS(Dataset!$AK:$AK,Dataset!$F:$F,'credito latam'!$D$11,Dataset!$AN:$AN,"B",Dataset!$J:$J,"&lt;"&amp;$D46,Dataset!$J:$J,"&gt;="&amp;$C46)+SUMIFS(Dataset!$AK:$AK,Dataset!$F:$F,'credito latam'!$D$11,Dataset!$AN:$AN,"B+",Dataset!$J:$J,"&lt;"&amp;$D46,Dataset!$J:$J,"&gt;="&amp;$C46)</f>
        <v>0</v>
      </c>
      <c r="Y46" s="114">
        <f>SUMIFS(Dataset!$AK:$AK,Dataset!$F:$F,'credito latam'!$D$11,Dataset!$AN:$AN,Y$44,Dataset!$J:$J,"&lt;"&amp;$D46,Dataset!$J:$J,"&gt;="&amp;$C46)</f>
        <v>0</v>
      </c>
      <c r="Z46" s="84">
        <f t="shared" si="2"/>
        <v>0</v>
      </c>
      <c r="AA46" s="115">
        <f>(SUMIFS(Dataset!$H:$H,Dataset!$F:$F,'credito latam'!$D$11,Dataset!$Z:$Z,AA$44,Dataset!$J:$J,"&lt;"&amp;$D46,Dataset!$J:$J,"&gt;="&amp;$C46))*10</f>
        <v>0</v>
      </c>
      <c r="AB46" s="86">
        <f>(SUMIFS(Dataset!$H:$H,Dataset!$F:$F,'credito latam'!$D$11,Dataset!$Z:$Z,AB$44,Dataset!$J:$J,"&lt;"&amp;$D46,Dataset!$J:$J,"&gt;="&amp;$C46))*10</f>
        <v>0</v>
      </c>
      <c r="AC46" s="86">
        <f>(SUMIFS(Dataset!$H:$H,Dataset!$F:$F,'credito latam'!$D$11,Dataset!$Z:$Z,AC$44,Dataset!$J:$J,"&lt;"&amp;$D46,Dataset!$J:$J,"&gt;="&amp;$C46))*10</f>
        <v>0</v>
      </c>
      <c r="AD46" s="86">
        <f>(SUMIFS(Dataset!$H:$H,Dataset!$F:$F,'credito latam'!$D$11,Dataset!$Z:$Z,AD$44,Dataset!$J:$J,"&lt;"&amp;$D46,Dataset!$J:$J,"&gt;="&amp;$C46))*10</f>
        <v>0</v>
      </c>
      <c r="AE46" s="86">
        <f>(SUMIFS(Dataset!$H:$H,Dataset!$F:$F,'credito latam'!$D$11,Dataset!$Z:$Z,AE$44,Dataset!$J:$J,"&lt;"&amp;$D46,Dataset!$J:$J,"&gt;="&amp;$C46))*10</f>
        <v>0</v>
      </c>
      <c r="AF46" s="86">
        <f>(SUMIFS(Dataset!$H:$H,Dataset!$F:$F,'credito latam'!$D$11,Dataset!$Z:$Z,AF$44,Dataset!$J:$J,"&lt;"&amp;$D46,Dataset!$J:$J,"&gt;="&amp;$C46))*10</f>
        <v>0</v>
      </c>
      <c r="AG46" s="116">
        <f>SUMIFS(Dataset!$H:$H,Dataset!$F:$F,'credito latam'!$D$11,Dataset!$J:$J,"&lt;"&amp;$D46,Dataset!J:J,"&gt;="&amp;$C46,Dataset!$Z:$Z,"&lt;&gt;CL",Dataset!$Z:$Z,"&lt;&gt;MX",Dataset!$Z:$Z,"&lt;&gt;CO",Dataset!$Z:$Z,"&lt;&gt;PE",Dataset!$Z:$Z,"&lt;&gt;BR",Dataset!$Z:$Z,"&lt;&gt;CI",Dataset!$Z:$Z,"&lt;&gt;PA")*10</f>
        <v>0</v>
      </c>
      <c r="AH46" s="87">
        <f t="shared" si="3"/>
        <v>0</v>
      </c>
    </row>
    <row r="47" spans="3:34" ht="33" customHeight="1" x14ac:dyDescent="0.3">
      <c r="C47" s="61">
        <v>1.5</v>
      </c>
      <c r="D47" s="81">
        <v>2.5</v>
      </c>
      <c r="E47" s="113">
        <f>SUMIFS(Dataset!$AK:$AK,Dataset!$F:$F,'credito latam'!$D$11,Dataset!$Z:$Z,E$44,Dataset!$J:$J,"&lt;"&amp;$D47,Dataset!$J:$J,"&gt;="&amp;$C47)</f>
        <v>0</v>
      </c>
      <c r="F47" s="101">
        <f>SUMIFS(Dataset!$AK:$AK,Dataset!$F:$F,'credito latam'!$D$11,Dataset!$Z:$Z,F$44,Dataset!$J:$J,"&lt;"&amp;$D47,Dataset!$J:$J,"&gt;="&amp;$C47)</f>
        <v>0</v>
      </c>
      <c r="G47" s="101">
        <f>SUMIFS(Dataset!$AK:$AK,Dataset!$F:$F,'credito latam'!$D$11,Dataset!$Z:$Z,G$44,Dataset!$J:$J,"&lt;"&amp;$D47,Dataset!$J:$J,"&gt;="&amp;$C47)</f>
        <v>0</v>
      </c>
      <c r="H47" s="101">
        <f>SUMIFS(Dataset!$AK:$AK,Dataset!$F:$F,'credito latam'!$D$11,Dataset!$Z:$Z,H$44,Dataset!$J:$J,"&lt;"&amp;$D47,Dataset!$J:$J,"&gt;="&amp;$C47)</f>
        <v>0</v>
      </c>
      <c r="I47" s="101">
        <f>SUMIFS(Dataset!$AK:$AK,Dataset!$F:$F,'credito latam'!$D$11,Dataset!$Z:$Z,I$44,Dataset!$J:$J,"&lt;"&amp;$D47,Dataset!$J:$J,"&gt;="&amp;$C47)</f>
        <v>0</v>
      </c>
      <c r="J47" s="101">
        <f>SUMIFS(Dataset!$AK:$AK,Dataset!$F:$F,'credito latam'!$D$11,Dataset!$Z:$Z,J$44,Dataset!$J:$J,"&lt;"&amp;$D47,Dataset!$J:$J,"&gt;="&amp;$C47)</f>
        <v>0</v>
      </c>
      <c r="K47" s="102">
        <f>SUMIFS(Dataset!$AK:$AK,Dataset!$F:$F,'credito latam'!$D$11,Dataset!$J:$J,"&lt;"&amp;$D47,Dataset!J:J,"&gt;="&amp;$C47,Dataset!$Z:$Z,"&lt;&gt;CL",Dataset!$Z:$Z,"&lt;&gt;MX",Dataset!$Z:$Z,"&lt;&gt;CO",Dataset!$Z:$Z,"&lt;&gt;PE",Dataset!$Z:$Z,"&lt;&gt;BR",Dataset!$Z:$Z,"&lt;&gt;PA")</f>
        <v>0</v>
      </c>
      <c r="L47" s="84">
        <f t="shared" si="1"/>
        <v>0</v>
      </c>
      <c r="M47" s="113">
        <f>SUMIFS(Dataset!$AK:$AK,Dataset!$F:$F,'credito latam'!$D$11,Dataset!$AN:$AN,"*AAA*",Dataset!$J:$J,"&lt;"&amp;$D47,Dataset!$J:$J,"&gt;="&amp;$C47)</f>
        <v>0</v>
      </c>
      <c r="N47" s="101">
        <f>SUMIFS(Dataset!$AK:$AK,Dataset!$F:$F,'credito latam'!$D$11,Dataset!$AN:$AN,"AA+",Dataset!$J:$J,"&lt;"&amp;$D47,Dataset!$J:$J,"&gt;="&amp;$C47)+SUMIFS(Dataset!$AK:$AK,Dataset!$F:$F,'credito latam'!$D$11,Dataset!$AN:$AN,"AA",Dataset!$J:$J,"&lt;"&amp;$D47,Dataset!$J:$J,"&gt;="&amp;$C47)+SUMIFS(Dataset!$AK:$AK,Dataset!$F:$F,'credito latam'!$D$11,Dataset!$AN:$AN,"AA-",Dataset!$J:$J,"&lt;"&amp;$D47,Dataset!$J:$J,"&gt;="&amp;$C47)</f>
        <v>0</v>
      </c>
      <c r="O47" s="101">
        <f>SUMIFS(Dataset!$AK:$AK,Dataset!$F:$F,'credito latam'!$D$11,Dataset!$AN:$AN,O$44,Dataset!$J:$J,"&lt;"&amp;$D47,Dataset!$J:$J,"&gt;="&amp;$C47)</f>
        <v>0</v>
      </c>
      <c r="P47" s="101">
        <f>SUMIFS(Dataset!$AK:$AK,Dataset!$F:$F,'credito latam'!$D$11,Dataset!$AN:$AN,P$44,Dataset!$J:$J,"&lt;"&amp;$D47,Dataset!$J:$J,"&gt;="&amp;$C47)</f>
        <v>0</v>
      </c>
      <c r="Q47" s="101">
        <f>SUMIFS(Dataset!$AK:$AK,Dataset!$F:$F,'credito latam'!$D$11,Dataset!$AN:$AN,Q$44,Dataset!$J:$J,"&lt;"&amp;$D47,Dataset!$J:$J,"&gt;="&amp;$C47)</f>
        <v>0</v>
      </c>
      <c r="R47" s="101">
        <f>SUMIFS(Dataset!$AK:$AK,Dataset!$F:$F,'credito latam'!$D$11,Dataset!$AN:$AN,R$44,Dataset!$J:$J,"&lt;"&amp;$D47,Dataset!$J:$J,"&gt;="&amp;$C47)</f>
        <v>0</v>
      </c>
      <c r="S47" s="101">
        <f>SUMIFS(Dataset!$AK:$AK,Dataset!$F:$F,'credito latam'!$D$11,Dataset!$AN:$AN,S$44,Dataset!$J:$J,"&lt;"&amp;$D47,Dataset!$J:$J,"&gt;="&amp;$C47)</f>
        <v>0</v>
      </c>
      <c r="T47" s="101">
        <f>SUMIFS(Dataset!$AK:$AK,Dataset!$F:$F,'credito latam'!$D$11,Dataset!$AN:$AN,T$44,Dataset!$J:$J,"&lt;"&amp;$D47,Dataset!$J:$J,"&gt;="&amp;$C47)</f>
        <v>0</v>
      </c>
      <c r="U47" s="101">
        <f>SUMIFS(Dataset!$AK:$AK,Dataset!$F:$F,'credito latam'!$D$11,Dataset!$AN:$AN,U$44,Dataset!$J:$J,"&lt;"&amp;$D47,Dataset!$J:$J,"&gt;="&amp;$C47)</f>
        <v>0</v>
      </c>
      <c r="V47" s="101">
        <f>SUMIFS(Dataset!$AK:$AK,Dataset!$F:$F,'credito latam'!$D$11,Dataset!$AN:$AN,V$44,Dataset!$J:$J,"&lt;"&amp;$D47,Dataset!$J:$J,"&gt;="&amp;$C47)</f>
        <v>0</v>
      </c>
      <c r="W47" s="101">
        <f>SUMIFS(Dataset!$AK:$AK,Dataset!$F:$F,'credito latam'!$D$11,Dataset!$AN:$AN,W$44,Dataset!$J:$J,"&lt;"&amp;$D47,Dataset!$J:$J,"&gt;="&amp;$C47)</f>
        <v>0</v>
      </c>
      <c r="X47" s="101">
        <f>SUMIFS(Dataset!$AK:$AK,Dataset!$F:$F,'credito latam'!$D$11,Dataset!$AN:$AN,"B-",Dataset!$J:$J,"&lt;"&amp;$D47,Dataset!$J:$J,"&gt;="&amp;$C47)+SUMIFS(Dataset!$AK:$AK,Dataset!$F:$F,'credito latam'!$D$11,Dataset!$AN:$AN,"B",Dataset!$J:$J,"&lt;"&amp;$D47,Dataset!$J:$J,"&gt;="&amp;$C47)+SUMIFS(Dataset!$AK:$AK,Dataset!$F:$F,'credito latam'!$D$11,Dataset!$AN:$AN,"B+",Dataset!$J:$J,"&lt;"&amp;$D47,Dataset!$J:$J,"&gt;="&amp;$C47)</f>
        <v>0</v>
      </c>
      <c r="Y47" s="102">
        <f>SUMIFS(Dataset!$AK:$AK,Dataset!$F:$F,'credito latam'!$D$11,Dataset!$AN:$AN,Y$44,Dataset!$J:$J,"&lt;"&amp;$D47,Dataset!$J:$J,"&gt;="&amp;$C47)</f>
        <v>0</v>
      </c>
      <c r="Z47" s="84">
        <f t="shared" si="2"/>
        <v>0</v>
      </c>
      <c r="AA47" s="115">
        <f>(SUMIFS(Dataset!$H:$H,Dataset!$F:$F,'credito latam'!$D$11,Dataset!$Z:$Z,AA$44,Dataset!$J:$J,"&lt;"&amp;$D47,Dataset!$J:$J,"&gt;="&amp;$C47))*10</f>
        <v>0</v>
      </c>
      <c r="AB47" s="117">
        <f>(SUMIFS(Dataset!$H:$H,Dataset!$F:$F,'credito latam'!$D$11,Dataset!$Z:$Z,AB$44,Dataset!$J:$J,"&lt;"&amp;$D47,Dataset!$J:$J,"&gt;="&amp;$C47))*10</f>
        <v>0</v>
      </c>
      <c r="AC47" s="117">
        <f>(SUMIFS(Dataset!$H:$H,Dataset!$F:$F,'credito latam'!$D$11,Dataset!$Z:$Z,AC$44,Dataset!$J:$J,"&lt;"&amp;$D47,Dataset!$J:$J,"&gt;="&amp;$C47))*10</f>
        <v>0</v>
      </c>
      <c r="AD47" s="117">
        <f>(SUMIFS(Dataset!$H:$H,Dataset!$F:$F,'credito latam'!$D$11,Dataset!$Z:$Z,AD$44,Dataset!$J:$J,"&lt;"&amp;$D47,Dataset!$J:$J,"&gt;="&amp;$C47))*10</f>
        <v>0</v>
      </c>
      <c r="AE47" s="117">
        <f>(SUMIFS(Dataset!$H:$H,Dataset!$F:$F,'credito latam'!$D$11,Dataset!$Z:$Z,AE$44,Dataset!$J:$J,"&lt;"&amp;$D47,Dataset!$J:$J,"&gt;="&amp;$C47))*10</f>
        <v>0</v>
      </c>
      <c r="AF47" s="117">
        <f>(SUMIFS(Dataset!$H:$H,Dataset!$F:$F,'credito latam'!$D$11,Dataset!$Z:$Z,AF$44,Dataset!$J:$J,"&lt;"&amp;$D47,Dataset!$J:$J,"&gt;="&amp;$C47))*10</f>
        <v>0</v>
      </c>
      <c r="AG47" s="118">
        <f>SUMIFS(Dataset!$H:$H,Dataset!$F:$F,'credito latam'!$D$11,Dataset!$J:$J,"&lt;"&amp;$D47,Dataset!J:J,"&gt;="&amp;$C47,Dataset!$Z:$Z,"&lt;&gt;CL",Dataset!$Z:$Z,"&lt;&gt;MX",Dataset!$Z:$Z,"&lt;&gt;CO",Dataset!$Z:$Z,"&lt;&gt;PE",Dataset!$Z:$Z,"&lt;&gt;BR",Dataset!$Z:$Z,"&lt;&gt;CI",Dataset!$Z:$Z,"&lt;&gt;PA")*10</f>
        <v>0</v>
      </c>
      <c r="AH47" s="87">
        <f t="shared" si="3"/>
        <v>0</v>
      </c>
    </row>
    <row r="48" spans="3:34" ht="33" customHeight="1" x14ac:dyDescent="0.3">
      <c r="C48" s="61">
        <v>2.5</v>
      </c>
      <c r="D48" s="81">
        <v>3.5</v>
      </c>
      <c r="E48" s="113">
        <f>SUMIFS(Dataset!$AK:$AK,Dataset!$F:$F,'credito latam'!$D$11,Dataset!$Z:$Z,E$44,Dataset!$J:$J,"&lt;"&amp;$D48,Dataset!$J:$J,"&gt;="&amp;$C48)</f>
        <v>0</v>
      </c>
      <c r="F48" s="83">
        <f>SUMIFS(Dataset!$AK:$AK,Dataset!$F:$F,'credito latam'!$D$11,Dataset!$Z:$Z,F$44,Dataset!$J:$J,"&lt;"&amp;$D48,Dataset!$J:$J,"&gt;="&amp;$C48)</f>
        <v>0</v>
      </c>
      <c r="G48" s="83">
        <f>SUMIFS(Dataset!$AK:$AK,Dataset!$F:$F,'credito latam'!$D$11,Dataset!$Z:$Z,G$44,Dataset!$J:$J,"&lt;"&amp;$D48,Dataset!$J:$J,"&gt;="&amp;$C48)</f>
        <v>0</v>
      </c>
      <c r="H48" s="83">
        <f>SUMIFS(Dataset!$AK:$AK,Dataset!$F:$F,'credito latam'!$D$11,Dataset!$Z:$Z,H$44,Dataset!$J:$J,"&lt;"&amp;$D48,Dataset!$J:$J,"&gt;="&amp;$C48)</f>
        <v>0</v>
      </c>
      <c r="I48" s="83">
        <f>SUMIFS(Dataset!$AK:$AK,Dataset!$F:$F,'credito latam'!$D$11,Dataset!$Z:$Z,I$44,Dataset!$J:$J,"&lt;"&amp;$D48,Dataset!$J:$J,"&gt;="&amp;$C48)</f>
        <v>0</v>
      </c>
      <c r="J48" s="83">
        <f>SUMIFS(Dataset!$AK:$AK,Dataset!$F:$F,'credito latam'!$D$11,Dataset!$Z:$Z,J$44,Dataset!$J:$J,"&lt;"&amp;$D48,Dataset!$J:$J,"&gt;="&amp;$C48)</f>
        <v>0</v>
      </c>
      <c r="K48" s="114">
        <f>SUMIFS(Dataset!$AK:$AK,Dataset!$F:$F,'credito latam'!$D$11,Dataset!$J:$J,"&lt;"&amp;$D48,Dataset!J:J,"&gt;="&amp;$C48,Dataset!$Z:$Z,"&lt;&gt;CL",Dataset!$Z:$Z,"&lt;&gt;MX",Dataset!$Z:$Z,"&lt;&gt;CO",Dataset!$Z:$Z,"&lt;&gt;PE",Dataset!$Z:$Z,"&lt;&gt;BR",Dataset!$Z:$Z,"&lt;&gt;PA")</f>
        <v>0</v>
      </c>
      <c r="L48" s="84">
        <f t="shared" si="1"/>
        <v>0</v>
      </c>
      <c r="M48" s="113">
        <f>SUMIFS(Dataset!$AK:$AK,Dataset!$F:$F,'credito latam'!$D$11,Dataset!$AN:$AN,"*AAA*",Dataset!$J:$J,"&lt;"&amp;$D48,Dataset!$J:$J,"&gt;="&amp;$C48)</f>
        <v>0</v>
      </c>
      <c r="N48" s="83">
        <f>SUMIFS(Dataset!$AK:$AK,Dataset!$F:$F,'credito latam'!$D$11,Dataset!$AN:$AN,"AA+",Dataset!$J:$J,"&lt;"&amp;$D48,Dataset!$J:$J,"&gt;="&amp;$C48)+SUMIFS(Dataset!$AK:$AK,Dataset!$F:$F,'credito latam'!$D$11,Dataset!$AN:$AN,"AA",Dataset!$J:$J,"&lt;"&amp;$D48,Dataset!$J:$J,"&gt;="&amp;$C48)+SUMIFS(Dataset!$AK:$AK,Dataset!$F:$F,'credito latam'!$D$11,Dataset!$AN:$AN,"AA-",Dataset!$J:$J,"&lt;"&amp;$D48,Dataset!$J:$J,"&gt;="&amp;$C48)</f>
        <v>0</v>
      </c>
      <c r="O48" s="83">
        <f>SUMIFS(Dataset!$AK:$AK,Dataset!$F:$F,'credito latam'!$D$11,Dataset!$AN:$AN,O$44,Dataset!$J:$J,"&lt;"&amp;$D48,Dataset!$J:$J,"&gt;="&amp;$C48)</f>
        <v>0</v>
      </c>
      <c r="P48" s="83">
        <f>SUMIFS(Dataset!$AK:$AK,Dataset!$F:$F,'credito latam'!$D$11,Dataset!$AN:$AN,P$44,Dataset!$J:$J,"&lt;"&amp;$D48,Dataset!$J:$J,"&gt;="&amp;$C48)</f>
        <v>0</v>
      </c>
      <c r="Q48" s="83">
        <f>SUMIFS(Dataset!$AK:$AK,Dataset!$F:$F,'credito latam'!$D$11,Dataset!$AN:$AN,Q$44,Dataset!$J:$J,"&lt;"&amp;$D48,Dataset!$J:$J,"&gt;="&amp;$C48)</f>
        <v>0</v>
      </c>
      <c r="R48" s="83">
        <f>SUMIFS(Dataset!$AK:$AK,Dataset!$F:$F,'credito latam'!$D$11,Dataset!$AN:$AN,R$44,Dataset!$J:$J,"&lt;"&amp;$D48,Dataset!$J:$J,"&gt;="&amp;$C48)</f>
        <v>0</v>
      </c>
      <c r="S48" s="83">
        <f>SUMIFS(Dataset!$AK:$AK,Dataset!$F:$F,'credito latam'!$D$11,Dataset!$AN:$AN,S$44,Dataset!$J:$J,"&lt;"&amp;$D48,Dataset!$J:$J,"&gt;="&amp;$C48)</f>
        <v>0</v>
      </c>
      <c r="T48" s="83">
        <f>SUMIFS(Dataset!$AK:$AK,Dataset!$F:$F,'credito latam'!$D$11,Dataset!$AN:$AN,T$44,Dataset!$J:$J,"&lt;"&amp;$D48,Dataset!$J:$J,"&gt;="&amp;$C48)</f>
        <v>0</v>
      </c>
      <c r="U48" s="83">
        <f>SUMIFS(Dataset!$AK:$AK,Dataset!$F:$F,'credito latam'!$D$11,Dataset!$AN:$AN,U$44,Dataset!$J:$J,"&lt;"&amp;$D48,Dataset!$J:$J,"&gt;="&amp;$C48)</f>
        <v>0</v>
      </c>
      <c r="V48" s="83">
        <f>SUMIFS(Dataset!$AK:$AK,Dataset!$F:$F,'credito latam'!$D$11,Dataset!$AN:$AN,V$44,Dataset!$J:$J,"&lt;"&amp;$D48,Dataset!$J:$J,"&gt;="&amp;$C48)</f>
        <v>0</v>
      </c>
      <c r="W48" s="83">
        <f>SUMIFS(Dataset!$AK:$AK,Dataset!$F:$F,'credito latam'!$D$11,Dataset!$AN:$AN,W$44,Dataset!$J:$J,"&lt;"&amp;$D48,Dataset!$J:$J,"&gt;="&amp;$C48)</f>
        <v>0</v>
      </c>
      <c r="X48" s="83">
        <f>SUMIFS(Dataset!$AK:$AK,Dataset!$F:$F,'credito latam'!$D$11,Dataset!$AN:$AN,"B-",Dataset!$J:$J,"&lt;"&amp;$D48,Dataset!$J:$J,"&gt;="&amp;$C48)+SUMIFS(Dataset!$AK:$AK,Dataset!$F:$F,'credito latam'!$D$11,Dataset!$AN:$AN,"B",Dataset!$J:$J,"&lt;"&amp;$D48,Dataset!$J:$J,"&gt;="&amp;$C48)+SUMIFS(Dataset!$AK:$AK,Dataset!$F:$F,'credito latam'!$D$11,Dataset!$AN:$AN,"B+",Dataset!$J:$J,"&lt;"&amp;$D48,Dataset!$J:$J,"&gt;="&amp;$C48)</f>
        <v>0</v>
      </c>
      <c r="Y48" s="114">
        <f>SUMIFS(Dataset!$AK:$AK,Dataset!$F:$F,'credito latam'!$D$11,Dataset!$AN:$AN,Y$44,Dataset!$J:$J,"&lt;"&amp;$D48,Dataset!$J:$J,"&gt;="&amp;$C48)</f>
        <v>0</v>
      </c>
      <c r="Z48" s="84">
        <f t="shared" si="2"/>
        <v>0</v>
      </c>
      <c r="AA48" s="115">
        <f>(SUMIFS(Dataset!$H:$H,Dataset!$F:$F,'credito latam'!$D$11,Dataset!$Z:$Z,AA$44,Dataset!$J:$J,"&lt;"&amp;$D48,Dataset!$J:$J,"&gt;="&amp;$C48))*10</f>
        <v>0</v>
      </c>
      <c r="AB48" s="86">
        <f>(SUMIFS(Dataset!$H:$H,Dataset!$F:$F,'credito latam'!$D$11,Dataset!$Z:$Z,AB$44,Dataset!$J:$J,"&lt;"&amp;$D48,Dataset!$J:$J,"&gt;="&amp;$C48))*10</f>
        <v>0</v>
      </c>
      <c r="AC48" s="86">
        <f>(SUMIFS(Dataset!$H:$H,Dataset!$F:$F,'credito latam'!$D$11,Dataset!$Z:$Z,AC$44,Dataset!$J:$J,"&lt;"&amp;$D48,Dataset!$J:$J,"&gt;="&amp;$C48))*10</f>
        <v>0</v>
      </c>
      <c r="AD48" s="86">
        <f>(SUMIFS(Dataset!$H:$H,Dataset!$F:$F,'credito latam'!$D$11,Dataset!$Z:$Z,AD$44,Dataset!$J:$J,"&lt;"&amp;$D48,Dataset!$J:$J,"&gt;="&amp;$C48))*10</f>
        <v>0</v>
      </c>
      <c r="AE48" s="86">
        <f>(SUMIFS(Dataset!$H:$H,Dataset!$F:$F,'credito latam'!$D$11,Dataset!$Z:$Z,AE$44,Dataset!$J:$J,"&lt;"&amp;$D48,Dataset!$J:$J,"&gt;="&amp;$C48))*10</f>
        <v>0</v>
      </c>
      <c r="AF48" s="86">
        <f>(SUMIFS(Dataset!$H:$H,Dataset!$F:$F,'credito latam'!$D$11,Dataset!$Z:$Z,AF$44,Dataset!$J:$J,"&lt;"&amp;$D48,Dataset!$J:$J,"&gt;="&amp;$C48))*10</f>
        <v>0</v>
      </c>
      <c r="AG48" s="116">
        <f>SUMIFS(Dataset!$H:$H,Dataset!$F:$F,'credito latam'!$D$11,Dataset!$J:$J,"&lt;"&amp;$D48,Dataset!J:J,"&gt;="&amp;$C48,Dataset!$Z:$Z,"&lt;&gt;CL",Dataset!$Z:$Z,"&lt;&gt;MX",Dataset!$Z:$Z,"&lt;&gt;CO",Dataset!$Z:$Z,"&lt;&gt;PE",Dataset!$Z:$Z,"&lt;&gt;BR",Dataset!$Z:$Z,"&lt;&gt;CI",Dataset!$Z:$Z,"&lt;&gt;PA")*10</f>
        <v>0</v>
      </c>
      <c r="AH48" s="87">
        <f t="shared" si="3"/>
        <v>0</v>
      </c>
    </row>
    <row r="49" spans="3:34" ht="33" customHeight="1" x14ac:dyDescent="0.3">
      <c r="C49" s="61">
        <v>3.5</v>
      </c>
      <c r="D49" s="81">
        <v>4.5</v>
      </c>
      <c r="E49" s="113">
        <f>SUMIFS(Dataset!$AK:$AK,Dataset!$F:$F,'credito latam'!$D$11,Dataset!$Z:$Z,E$44,Dataset!$J:$J,"&lt;"&amp;$D49,Dataset!$J:$J,"&gt;="&amp;$C49)</f>
        <v>0</v>
      </c>
      <c r="F49" s="101">
        <f>SUMIFS(Dataset!$AK:$AK,Dataset!$F:$F,'credito latam'!$D$11,Dataset!$Z:$Z,F$44,Dataset!$J:$J,"&lt;"&amp;$D49,Dataset!$J:$J,"&gt;="&amp;$C49)</f>
        <v>0</v>
      </c>
      <c r="G49" s="101">
        <f>SUMIFS(Dataset!$AK:$AK,Dataset!$F:$F,'credito latam'!$D$11,Dataset!$Z:$Z,G$44,Dataset!$J:$J,"&lt;"&amp;$D49,Dataset!$J:$J,"&gt;="&amp;$C49)</f>
        <v>0</v>
      </c>
      <c r="H49" s="101">
        <f>SUMIFS(Dataset!$AK:$AK,Dataset!$F:$F,'credito latam'!$D$11,Dataset!$Z:$Z,H$44,Dataset!$J:$J,"&lt;"&amp;$D49,Dataset!$J:$J,"&gt;="&amp;$C49)</f>
        <v>0</v>
      </c>
      <c r="I49" s="101">
        <f>SUMIFS(Dataset!$AK:$AK,Dataset!$F:$F,'credito latam'!$D$11,Dataset!$Z:$Z,I$44,Dataset!$J:$J,"&lt;"&amp;$D49,Dataset!$J:$J,"&gt;="&amp;$C49)</f>
        <v>0</v>
      </c>
      <c r="J49" s="101">
        <f>SUMIFS(Dataset!$AK:$AK,Dataset!$F:$F,'credito latam'!$D$11,Dataset!$Z:$Z,J$44,Dataset!$J:$J,"&lt;"&amp;$D49,Dataset!$J:$J,"&gt;="&amp;$C49)</f>
        <v>0</v>
      </c>
      <c r="K49" s="102">
        <f>SUMIFS(Dataset!$AK:$AK,Dataset!$F:$F,'credito latam'!$D$11,Dataset!$J:$J,"&lt;"&amp;$D49,Dataset!J:J,"&gt;="&amp;$C49,Dataset!$Z:$Z,"&lt;&gt;CL",Dataset!$Z:$Z,"&lt;&gt;MX",Dataset!$Z:$Z,"&lt;&gt;CO",Dataset!$Z:$Z,"&lt;&gt;PE",Dataset!$Z:$Z,"&lt;&gt;BR",Dataset!$Z:$Z,"&lt;&gt;PA")</f>
        <v>0</v>
      </c>
      <c r="L49" s="84">
        <f t="shared" si="1"/>
        <v>0</v>
      </c>
      <c r="M49" s="113">
        <f>SUMIFS(Dataset!$AK:$AK,Dataset!$F:$F,'credito latam'!$D$11,Dataset!$AN:$AN,"*AAA*",Dataset!$J:$J,"&lt;"&amp;$D49,Dataset!$J:$J,"&gt;="&amp;$C49)</f>
        <v>0</v>
      </c>
      <c r="N49" s="101">
        <f>SUMIFS(Dataset!$AK:$AK,Dataset!$F:$F,'credito latam'!$D$11,Dataset!$AN:$AN,"AA+",Dataset!$J:$J,"&lt;"&amp;$D49,Dataset!$J:$J,"&gt;="&amp;$C49)+SUMIFS(Dataset!$AK:$AK,Dataset!$F:$F,'credito latam'!$D$11,Dataset!$AN:$AN,"AA",Dataset!$J:$J,"&lt;"&amp;$D49,Dataset!$J:$J,"&gt;="&amp;$C49)+SUMIFS(Dataset!$AK:$AK,Dataset!$F:$F,'credito latam'!$D$11,Dataset!$AN:$AN,"AA-",Dataset!$J:$J,"&lt;"&amp;$D49,Dataset!$J:$J,"&gt;="&amp;$C49)</f>
        <v>0</v>
      </c>
      <c r="O49" s="101">
        <f>SUMIFS(Dataset!$AK:$AK,Dataset!$F:$F,'credito latam'!$D$11,Dataset!$AN:$AN,O$44,Dataset!$J:$J,"&lt;"&amp;$D49,Dataset!$J:$J,"&gt;="&amp;$C49)</f>
        <v>0</v>
      </c>
      <c r="P49" s="101">
        <f>SUMIFS(Dataset!$AK:$AK,Dataset!$F:$F,'credito latam'!$D$11,Dataset!$AN:$AN,P$44,Dataset!$J:$J,"&lt;"&amp;$D49,Dataset!$J:$J,"&gt;="&amp;$C49)</f>
        <v>0</v>
      </c>
      <c r="Q49" s="101">
        <f>SUMIFS(Dataset!$AK:$AK,Dataset!$F:$F,'credito latam'!$D$11,Dataset!$AN:$AN,Q$44,Dataset!$J:$J,"&lt;"&amp;$D49,Dataset!$J:$J,"&gt;="&amp;$C49)</f>
        <v>0</v>
      </c>
      <c r="R49" s="101">
        <f>SUMIFS(Dataset!$AK:$AK,Dataset!$F:$F,'credito latam'!$D$11,Dataset!$AN:$AN,R$44,Dataset!$J:$J,"&lt;"&amp;$D49,Dataset!$J:$J,"&gt;="&amp;$C49)</f>
        <v>0</v>
      </c>
      <c r="S49" s="101">
        <f>SUMIFS(Dataset!$AK:$AK,Dataset!$F:$F,'credito latam'!$D$11,Dataset!$AN:$AN,S$44,Dataset!$J:$J,"&lt;"&amp;$D49,Dataset!$J:$J,"&gt;="&amp;$C49)</f>
        <v>0</v>
      </c>
      <c r="T49" s="101">
        <f>SUMIFS(Dataset!$AK:$AK,Dataset!$F:$F,'credito latam'!$D$11,Dataset!$AN:$AN,T$44,Dataset!$J:$J,"&lt;"&amp;$D49,Dataset!$J:$J,"&gt;="&amp;$C49)</f>
        <v>0</v>
      </c>
      <c r="U49" s="101">
        <f>SUMIFS(Dataset!$AK:$AK,Dataset!$F:$F,'credito latam'!$D$11,Dataset!$AN:$AN,U$44,Dataset!$J:$J,"&lt;"&amp;$D49,Dataset!$J:$J,"&gt;="&amp;$C49)</f>
        <v>0</v>
      </c>
      <c r="V49" s="101">
        <f>SUMIFS(Dataset!$AK:$AK,Dataset!$F:$F,'credito latam'!$D$11,Dataset!$AN:$AN,V$44,Dataset!$J:$J,"&lt;"&amp;$D49,Dataset!$J:$J,"&gt;="&amp;$C49)</f>
        <v>0</v>
      </c>
      <c r="W49" s="101">
        <f>SUMIFS(Dataset!$AK:$AK,Dataset!$F:$F,'credito latam'!$D$11,Dataset!$AN:$AN,W$44,Dataset!$J:$J,"&lt;"&amp;$D49,Dataset!$J:$J,"&gt;="&amp;$C49)</f>
        <v>0</v>
      </c>
      <c r="X49" s="101">
        <f>SUMIFS(Dataset!$AK:$AK,Dataset!$F:$F,'credito latam'!$D$11,Dataset!$AN:$AN,"B-",Dataset!$J:$J,"&lt;"&amp;$D49,Dataset!$J:$J,"&gt;="&amp;$C49)+SUMIFS(Dataset!$AK:$AK,Dataset!$F:$F,'credito latam'!$D$11,Dataset!$AN:$AN,"B",Dataset!$J:$J,"&lt;"&amp;$D49,Dataset!$J:$J,"&gt;="&amp;$C49)+SUMIFS(Dataset!$AK:$AK,Dataset!$F:$F,'credito latam'!$D$11,Dataset!$AN:$AN,"B+",Dataset!$J:$J,"&lt;"&amp;$D49,Dataset!$J:$J,"&gt;="&amp;$C49)</f>
        <v>0</v>
      </c>
      <c r="Y49" s="102">
        <f>SUMIFS(Dataset!$AK:$AK,Dataset!$F:$F,'credito latam'!$D$11,Dataset!$AN:$AN,Y$44,Dataset!$J:$J,"&lt;"&amp;$D49,Dataset!$J:$J,"&gt;="&amp;$C49)</f>
        <v>0</v>
      </c>
      <c r="Z49" s="84">
        <f t="shared" si="2"/>
        <v>0</v>
      </c>
      <c r="AA49" s="115">
        <f>(SUMIFS(Dataset!$H:$H,Dataset!$F:$F,'credito latam'!$D$11,Dataset!$Z:$Z,AA$44,Dataset!$J:$J,"&lt;"&amp;$D49,Dataset!$J:$J,"&gt;="&amp;$C49))*10</f>
        <v>0</v>
      </c>
      <c r="AB49" s="117">
        <f>(SUMIFS(Dataset!$H:$H,Dataset!$F:$F,'credito latam'!$D$11,Dataset!$Z:$Z,AB$44,Dataset!$J:$J,"&lt;"&amp;$D49,Dataset!$J:$J,"&gt;="&amp;$C49))*10</f>
        <v>0</v>
      </c>
      <c r="AC49" s="117">
        <f>(SUMIFS(Dataset!$H:$H,Dataset!$F:$F,'credito latam'!$D$11,Dataset!$Z:$Z,AC$44,Dataset!$J:$J,"&lt;"&amp;$D49,Dataset!$J:$J,"&gt;="&amp;$C49))*10</f>
        <v>0</v>
      </c>
      <c r="AD49" s="117">
        <f>(SUMIFS(Dataset!$H:$H,Dataset!$F:$F,'credito latam'!$D$11,Dataset!$Z:$Z,AD$44,Dataset!$J:$J,"&lt;"&amp;$D49,Dataset!$J:$J,"&gt;="&amp;$C49))*10</f>
        <v>0</v>
      </c>
      <c r="AE49" s="117">
        <f>(SUMIFS(Dataset!$H:$H,Dataset!$F:$F,'credito latam'!$D$11,Dataset!$Z:$Z,AE$44,Dataset!$J:$J,"&lt;"&amp;$D49,Dataset!$J:$J,"&gt;="&amp;$C49))*10</f>
        <v>0</v>
      </c>
      <c r="AF49" s="117">
        <f>(SUMIFS(Dataset!$H:$H,Dataset!$F:$F,'credito latam'!$D$11,Dataset!$Z:$Z,AF$44,Dataset!$J:$J,"&lt;"&amp;$D49,Dataset!$J:$J,"&gt;="&amp;$C49))*10</f>
        <v>0</v>
      </c>
      <c r="AG49" s="118">
        <f>SUMIFS(Dataset!$H:$H,Dataset!$F:$F,'credito latam'!$D$11,Dataset!$J:$J,"&lt;"&amp;$D49,Dataset!J:J,"&gt;="&amp;$C49,Dataset!$Z:$Z,"&lt;&gt;CL",Dataset!$Z:$Z,"&lt;&gt;MX",Dataset!$Z:$Z,"&lt;&gt;CO",Dataset!$Z:$Z,"&lt;&gt;PE",Dataset!$Z:$Z,"&lt;&gt;BR",Dataset!$Z:$Z,"&lt;&gt;CI",Dataset!$Z:$Z,"&lt;&gt;PA")*10</f>
        <v>0</v>
      </c>
      <c r="AH49" s="87">
        <f t="shared" si="3"/>
        <v>0</v>
      </c>
    </row>
    <row r="50" spans="3:34" ht="33" customHeight="1" x14ac:dyDescent="0.3">
      <c r="C50" s="61">
        <v>4.5</v>
      </c>
      <c r="D50" s="81">
        <v>5.5</v>
      </c>
      <c r="E50" s="113">
        <f>SUMIFS(Dataset!$AK:$AK,Dataset!$F:$F,'credito latam'!$D$11,Dataset!$Z:$Z,E$44,Dataset!$J:$J,"&lt;"&amp;$D50,Dataset!$J:$J,"&gt;="&amp;$C50)</f>
        <v>0</v>
      </c>
      <c r="F50" s="83">
        <f>SUMIFS(Dataset!$AK:$AK,Dataset!$F:$F,'credito latam'!$D$11,Dataset!$Z:$Z,F$44,Dataset!$J:$J,"&lt;"&amp;$D50,Dataset!$J:$J,"&gt;="&amp;$C50)</f>
        <v>0</v>
      </c>
      <c r="G50" s="83">
        <f>SUMIFS(Dataset!$AK:$AK,Dataset!$F:$F,'credito latam'!$D$11,Dataset!$Z:$Z,G$44,Dataset!$J:$J,"&lt;"&amp;$D50,Dataset!$J:$J,"&gt;="&amp;$C50)</f>
        <v>0</v>
      </c>
      <c r="H50" s="83">
        <f>SUMIFS(Dataset!$AK:$AK,Dataset!$F:$F,'credito latam'!$D$11,Dataset!$Z:$Z,H$44,Dataset!$J:$J,"&lt;"&amp;$D50,Dataset!$J:$J,"&gt;="&amp;$C50)</f>
        <v>0</v>
      </c>
      <c r="I50" s="83">
        <f>SUMIFS(Dataset!$AK:$AK,Dataset!$F:$F,'credito latam'!$D$11,Dataset!$Z:$Z,I$44,Dataset!$J:$J,"&lt;"&amp;$D50,Dataset!$J:$J,"&gt;="&amp;$C50)</f>
        <v>0</v>
      </c>
      <c r="J50" s="83">
        <f>SUMIFS(Dataset!$AK:$AK,Dataset!$F:$F,'credito latam'!$D$11,Dataset!$Z:$Z,J$44,Dataset!$J:$J,"&lt;"&amp;$D50,Dataset!$J:$J,"&gt;="&amp;$C50)</f>
        <v>0</v>
      </c>
      <c r="K50" s="114">
        <f>SUMIFS(Dataset!$AK:$AK,Dataset!$F:$F,'credito latam'!$D$11,Dataset!$J:$J,"&lt;"&amp;$D50,Dataset!J:J,"&gt;="&amp;$C50,Dataset!$Z:$Z,"&lt;&gt;CL",Dataset!$Z:$Z,"&lt;&gt;MX",Dataset!$Z:$Z,"&lt;&gt;CO",Dataset!$Z:$Z,"&lt;&gt;PE",Dataset!$Z:$Z,"&lt;&gt;BR",Dataset!$Z:$Z,"&lt;&gt;PA")</f>
        <v>0</v>
      </c>
      <c r="L50" s="84">
        <f t="shared" si="1"/>
        <v>0</v>
      </c>
      <c r="M50" s="113">
        <f>SUMIFS(Dataset!$AK:$AK,Dataset!$F:$F,'credito latam'!$D$11,Dataset!$AN:$AN,"*AAA*",Dataset!$J:$J,"&lt;"&amp;$D50,Dataset!$J:$J,"&gt;="&amp;$C50)</f>
        <v>0</v>
      </c>
      <c r="N50" s="83">
        <f>SUMIFS(Dataset!$AK:$AK,Dataset!$F:$F,'credito latam'!$D$11,Dataset!$AN:$AN,"AA+",Dataset!$J:$J,"&lt;"&amp;$D50,Dataset!$J:$J,"&gt;="&amp;$C50)+SUMIFS(Dataset!$AK:$AK,Dataset!$F:$F,'credito latam'!$D$11,Dataset!$AN:$AN,"AA",Dataset!$J:$J,"&lt;"&amp;$D50,Dataset!$J:$J,"&gt;="&amp;$C50)+SUMIFS(Dataset!$AK:$AK,Dataset!$F:$F,'credito latam'!$D$11,Dataset!$AN:$AN,"AA-",Dataset!$J:$J,"&lt;"&amp;$D50,Dataset!$J:$J,"&gt;="&amp;$C50)</f>
        <v>0</v>
      </c>
      <c r="O50" s="83">
        <f>SUMIFS(Dataset!$AK:$AK,Dataset!$F:$F,'credito latam'!$D$11,Dataset!$AN:$AN,O$44,Dataset!$J:$J,"&lt;"&amp;$D50,Dataset!$J:$J,"&gt;="&amp;$C50)</f>
        <v>0</v>
      </c>
      <c r="P50" s="83">
        <f>SUMIFS(Dataset!$AK:$AK,Dataset!$F:$F,'credito latam'!$D$11,Dataset!$AN:$AN,P$44,Dataset!$J:$J,"&lt;"&amp;$D50,Dataset!$J:$J,"&gt;="&amp;$C50)</f>
        <v>0</v>
      </c>
      <c r="Q50" s="83">
        <f>SUMIFS(Dataset!$AK:$AK,Dataset!$F:$F,'credito latam'!$D$11,Dataset!$AN:$AN,Q$44,Dataset!$J:$J,"&lt;"&amp;$D50,Dataset!$J:$J,"&gt;="&amp;$C50)</f>
        <v>0</v>
      </c>
      <c r="R50" s="83">
        <f>SUMIFS(Dataset!$AK:$AK,Dataset!$F:$F,'credito latam'!$D$11,Dataset!$AN:$AN,R$44,Dataset!$J:$J,"&lt;"&amp;$D50,Dataset!$J:$J,"&gt;="&amp;$C50)</f>
        <v>0</v>
      </c>
      <c r="S50" s="83">
        <f>SUMIFS(Dataset!$AK:$AK,Dataset!$F:$F,'credito latam'!$D$11,Dataset!$AN:$AN,S$44,Dataset!$J:$J,"&lt;"&amp;$D50,Dataset!$J:$J,"&gt;="&amp;$C50)</f>
        <v>0</v>
      </c>
      <c r="T50" s="83">
        <f>SUMIFS(Dataset!$AK:$AK,Dataset!$F:$F,'credito latam'!$D$11,Dataset!$AN:$AN,T$44,Dataset!$J:$J,"&lt;"&amp;$D50,Dataset!$J:$J,"&gt;="&amp;$C50)</f>
        <v>0</v>
      </c>
      <c r="U50" s="83">
        <f>SUMIFS(Dataset!$AK:$AK,Dataset!$F:$F,'credito latam'!$D$11,Dataset!$AN:$AN,U$44,Dataset!$J:$J,"&lt;"&amp;$D50,Dataset!$J:$J,"&gt;="&amp;$C50)</f>
        <v>0</v>
      </c>
      <c r="V50" s="83">
        <f>SUMIFS(Dataset!$AK:$AK,Dataset!$F:$F,'credito latam'!$D$11,Dataset!$AN:$AN,V$44,Dataset!$J:$J,"&lt;"&amp;$D50,Dataset!$J:$J,"&gt;="&amp;$C50)</f>
        <v>0</v>
      </c>
      <c r="W50" s="83">
        <f>SUMIFS(Dataset!$AK:$AK,Dataset!$F:$F,'credito latam'!$D$11,Dataset!$AN:$AN,W$44,Dataset!$J:$J,"&lt;"&amp;$D50,Dataset!$J:$J,"&gt;="&amp;$C50)</f>
        <v>0</v>
      </c>
      <c r="X50" s="83">
        <f>SUMIFS(Dataset!$AK:$AK,Dataset!$F:$F,'credito latam'!$D$11,Dataset!$AN:$AN,"B-",Dataset!$J:$J,"&lt;"&amp;$D50,Dataset!$J:$J,"&gt;="&amp;$C50)+SUMIFS(Dataset!$AK:$AK,Dataset!$F:$F,'credito latam'!$D$11,Dataset!$AN:$AN,"B",Dataset!$J:$J,"&lt;"&amp;$D50,Dataset!$J:$J,"&gt;="&amp;$C50)+SUMIFS(Dataset!$AK:$AK,Dataset!$F:$F,'credito latam'!$D$11,Dataset!$AN:$AN,"B+",Dataset!$J:$J,"&lt;"&amp;$D50,Dataset!$J:$J,"&gt;="&amp;$C50)</f>
        <v>0</v>
      </c>
      <c r="Y50" s="114">
        <f>SUMIFS(Dataset!$AK:$AK,Dataset!$F:$F,'credito latam'!$D$11,Dataset!$AN:$AN,Y$44,Dataset!$J:$J,"&lt;"&amp;$D50,Dataset!$J:$J,"&gt;="&amp;$C50)</f>
        <v>0</v>
      </c>
      <c r="Z50" s="84">
        <f t="shared" si="2"/>
        <v>0</v>
      </c>
      <c r="AA50" s="115">
        <f>(SUMIFS(Dataset!$H:$H,Dataset!$F:$F,'credito latam'!$D$11,Dataset!$Z:$Z,AA$44,Dataset!$J:$J,"&lt;"&amp;$D50,Dataset!$J:$J,"&gt;="&amp;$C50))*10</f>
        <v>0</v>
      </c>
      <c r="AB50" s="86">
        <f>(SUMIFS(Dataset!$H:$H,Dataset!$F:$F,'credito latam'!$D$11,Dataset!$Z:$Z,AB$44,Dataset!$J:$J,"&lt;"&amp;$D50,Dataset!$J:$J,"&gt;="&amp;$C50))*10</f>
        <v>0</v>
      </c>
      <c r="AC50" s="86">
        <f>(SUMIFS(Dataset!$H:$H,Dataset!$F:$F,'credito latam'!$D$11,Dataset!$Z:$Z,AC$44,Dataset!$J:$J,"&lt;"&amp;$D50,Dataset!$J:$J,"&gt;="&amp;$C50))*10</f>
        <v>0</v>
      </c>
      <c r="AD50" s="86">
        <f>(SUMIFS(Dataset!$H:$H,Dataset!$F:$F,'credito latam'!$D$11,Dataset!$Z:$Z,AD$44,Dataset!$J:$J,"&lt;"&amp;$D50,Dataset!$J:$J,"&gt;="&amp;$C50))*10</f>
        <v>0</v>
      </c>
      <c r="AE50" s="86">
        <f>(SUMIFS(Dataset!$H:$H,Dataset!$F:$F,'credito latam'!$D$11,Dataset!$Z:$Z,AE$44,Dataset!$J:$J,"&lt;"&amp;$D50,Dataset!$J:$J,"&gt;="&amp;$C50))*10</f>
        <v>0</v>
      </c>
      <c r="AF50" s="86">
        <f>(SUMIFS(Dataset!$H:$H,Dataset!$F:$F,'credito latam'!$D$11,Dataset!$Z:$Z,AF$44,Dataset!$J:$J,"&lt;"&amp;$D50,Dataset!$J:$J,"&gt;="&amp;$C50))*10</f>
        <v>0</v>
      </c>
      <c r="AG50" s="116">
        <f>SUMIFS(Dataset!$H:$H,Dataset!$F:$F,'credito latam'!$D$11,Dataset!$J:$J,"&lt;"&amp;$D50,Dataset!J:J,"&gt;="&amp;$C50,Dataset!$Z:$Z,"&lt;&gt;CL",Dataset!$Z:$Z,"&lt;&gt;MX",Dataset!$Z:$Z,"&lt;&gt;CO",Dataset!$Z:$Z,"&lt;&gt;PE",Dataset!$Z:$Z,"&lt;&gt;BR",Dataset!$Z:$Z,"&lt;&gt;CI",Dataset!$Z:$Z,"&lt;&gt;PA")*10</f>
        <v>0</v>
      </c>
      <c r="AH50" s="87">
        <f t="shared" si="3"/>
        <v>0</v>
      </c>
    </row>
    <row r="51" spans="3:34" ht="33" customHeight="1" x14ac:dyDescent="0.3">
      <c r="C51" s="61">
        <v>5.5</v>
      </c>
      <c r="D51" s="81">
        <v>6.5</v>
      </c>
      <c r="E51" s="113">
        <f>SUMIFS(Dataset!$AK:$AK,Dataset!$F:$F,'credito latam'!$D$11,Dataset!$Z:$Z,E$44,Dataset!$J:$J,"&lt;"&amp;$D51,Dataset!$J:$J,"&gt;="&amp;$C51)</f>
        <v>0</v>
      </c>
      <c r="F51" s="101">
        <f>SUMIFS(Dataset!$AK:$AK,Dataset!$F:$F,'credito latam'!$D$11,Dataset!$Z:$Z,F$44,Dataset!$J:$J,"&lt;"&amp;$D51,Dataset!$J:$J,"&gt;="&amp;$C51)</f>
        <v>0</v>
      </c>
      <c r="G51" s="101">
        <f>SUMIFS(Dataset!$AK:$AK,Dataset!$F:$F,'credito latam'!$D$11,Dataset!$Z:$Z,G$44,Dataset!$J:$J,"&lt;"&amp;$D51,Dataset!$J:$J,"&gt;="&amp;$C51)</f>
        <v>0</v>
      </c>
      <c r="H51" s="101">
        <f>SUMIFS(Dataset!$AK:$AK,Dataset!$F:$F,'credito latam'!$D$11,Dataset!$Z:$Z,H$44,Dataset!$J:$J,"&lt;"&amp;$D51,Dataset!$J:$J,"&gt;="&amp;$C51)</f>
        <v>0</v>
      </c>
      <c r="I51" s="101">
        <f>SUMIFS(Dataset!$AK:$AK,Dataset!$F:$F,'credito latam'!$D$11,Dataset!$Z:$Z,I$44,Dataset!$J:$J,"&lt;"&amp;$D51,Dataset!$J:$J,"&gt;="&amp;$C51)</f>
        <v>0</v>
      </c>
      <c r="J51" s="101">
        <f>SUMIFS(Dataset!$AK:$AK,Dataset!$F:$F,'credito latam'!$D$11,Dataset!$Z:$Z,J$44,Dataset!$J:$J,"&lt;"&amp;$D51,Dataset!$J:$J,"&gt;="&amp;$C51)</f>
        <v>0</v>
      </c>
      <c r="K51" s="102">
        <f>SUMIFS(Dataset!$AK:$AK,Dataset!$F:$F,'credito latam'!$D$11,Dataset!$J:$J,"&lt;"&amp;$D51,Dataset!J:J,"&gt;="&amp;$C51,Dataset!$Z:$Z,"&lt;&gt;CL",Dataset!$Z:$Z,"&lt;&gt;MX",Dataset!$Z:$Z,"&lt;&gt;CO",Dataset!$Z:$Z,"&lt;&gt;PE",Dataset!$Z:$Z,"&lt;&gt;BR",Dataset!$Z:$Z,"&lt;&gt;PA")</f>
        <v>0</v>
      </c>
      <c r="L51" s="84">
        <f t="shared" si="1"/>
        <v>0</v>
      </c>
      <c r="M51" s="113">
        <f>SUMIFS(Dataset!$AK:$AK,Dataset!$F:$F,'credito latam'!$D$11,Dataset!$AN:$AN,"*AAA*",Dataset!$J:$J,"&lt;"&amp;$D51,Dataset!$J:$J,"&gt;="&amp;$C51)</f>
        <v>0</v>
      </c>
      <c r="N51" s="101">
        <f>SUMIFS(Dataset!$AK:$AK,Dataset!$F:$F,'credito latam'!$D$11,Dataset!$AN:$AN,"AA+",Dataset!$J:$J,"&lt;"&amp;$D51,Dataset!$J:$J,"&gt;="&amp;$C51)+SUMIFS(Dataset!$AK:$AK,Dataset!$F:$F,'credito latam'!$D$11,Dataset!$AN:$AN,"AA",Dataset!$J:$J,"&lt;"&amp;$D51,Dataset!$J:$J,"&gt;="&amp;$C51)+SUMIFS(Dataset!$AK:$AK,Dataset!$F:$F,'credito latam'!$D$11,Dataset!$AN:$AN,"AA-",Dataset!$J:$J,"&lt;"&amp;$D51,Dataset!$J:$J,"&gt;="&amp;$C51)</f>
        <v>0</v>
      </c>
      <c r="O51" s="101">
        <f>SUMIFS(Dataset!$AK:$AK,Dataset!$F:$F,'credito latam'!$D$11,Dataset!$AN:$AN,O$44,Dataset!$J:$J,"&lt;"&amp;$D51,Dataset!$J:$J,"&gt;="&amp;$C51)</f>
        <v>0</v>
      </c>
      <c r="P51" s="101">
        <f>SUMIFS(Dataset!$AK:$AK,Dataset!$F:$F,'credito latam'!$D$11,Dataset!$AN:$AN,P$44,Dataset!$J:$J,"&lt;"&amp;$D51,Dataset!$J:$J,"&gt;="&amp;$C51)</f>
        <v>0</v>
      </c>
      <c r="Q51" s="101">
        <f>SUMIFS(Dataset!$AK:$AK,Dataset!$F:$F,'credito latam'!$D$11,Dataset!$AN:$AN,Q$44,Dataset!$J:$J,"&lt;"&amp;$D51,Dataset!$J:$J,"&gt;="&amp;$C51)</f>
        <v>0</v>
      </c>
      <c r="R51" s="101">
        <f>SUMIFS(Dataset!$AK:$AK,Dataset!$F:$F,'credito latam'!$D$11,Dataset!$AN:$AN,R$44,Dataset!$J:$J,"&lt;"&amp;$D51,Dataset!$J:$J,"&gt;="&amp;$C51)</f>
        <v>0</v>
      </c>
      <c r="S51" s="101">
        <f>SUMIFS(Dataset!$AK:$AK,Dataset!$F:$F,'credito latam'!$D$11,Dataset!$AN:$AN,S$44,Dataset!$J:$J,"&lt;"&amp;$D51,Dataset!$J:$J,"&gt;="&amp;$C51)</f>
        <v>0</v>
      </c>
      <c r="T51" s="101">
        <f>SUMIFS(Dataset!$AK:$AK,Dataset!$F:$F,'credito latam'!$D$11,Dataset!$AN:$AN,T$44,Dataset!$J:$J,"&lt;"&amp;$D51,Dataset!$J:$J,"&gt;="&amp;$C51)</f>
        <v>0</v>
      </c>
      <c r="U51" s="101">
        <f>SUMIFS(Dataset!$AK:$AK,Dataset!$F:$F,'credito latam'!$D$11,Dataset!$AN:$AN,U$44,Dataset!$J:$J,"&lt;"&amp;$D51,Dataset!$J:$J,"&gt;="&amp;$C51)</f>
        <v>0</v>
      </c>
      <c r="V51" s="101">
        <f>SUMIFS(Dataset!$AK:$AK,Dataset!$F:$F,'credito latam'!$D$11,Dataset!$AN:$AN,V$44,Dataset!$J:$J,"&lt;"&amp;$D51,Dataset!$J:$J,"&gt;="&amp;$C51)</f>
        <v>0</v>
      </c>
      <c r="W51" s="101">
        <f>SUMIFS(Dataset!$AK:$AK,Dataset!$F:$F,'credito latam'!$D$11,Dataset!$AN:$AN,W$44,Dataset!$J:$J,"&lt;"&amp;$D51,Dataset!$J:$J,"&gt;="&amp;$C51)</f>
        <v>0</v>
      </c>
      <c r="X51" s="101">
        <f>SUMIFS(Dataset!$AK:$AK,Dataset!$F:$F,'credito latam'!$D$11,Dataset!$AN:$AN,"B-",Dataset!$J:$J,"&lt;"&amp;$D51,Dataset!$J:$J,"&gt;="&amp;$C51)+SUMIFS(Dataset!$AK:$AK,Dataset!$F:$F,'credito latam'!$D$11,Dataset!$AN:$AN,"B",Dataset!$J:$J,"&lt;"&amp;$D51,Dataset!$J:$J,"&gt;="&amp;$C51)+SUMIFS(Dataset!$AK:$AK,Dataset!$F:$F,'credito latam'!$D$11,Dataset!$AN:$AN,"B+",Dataset!$J:$J,"&lt;"&amp;$D51,Dataset!$J:$J,"&gt;="&amp;$C51)</f>
        <v>0</v>
      </c>
      <c r="Y51" s="102">
        <f>SUMIFS(Dataset!$AK:$AK,Dataset!$F:$F,'credito latam'!$D$11,Dataset!$AN:$AN,Y$44,Dataset!$J:$J,"&lt;"&amp;$D51,Dataset!$J:$J,"&gt;="&amp;$C51)</f>
        <v>0</v>
      </c>
      <c r="Z51" s="84">
        <f t="shared" si="2"/>
        <v>0</v>
      </c>
      <c r="AA51" s="115">
        <f>(SUMIFS(Dataset!$H:$H,Dataset!$F:$F,'credito latam'!$D$11,Dataset!$Z:$Z,AA$44,Dataset!$J:$J,"&lt;"&amp;$D51,Dataset!$J:$J,"&gt;="&amp;$C51))*10</f>
        <v>0</v>
      </c>
      <c r="AB51" s="117">
        <f>(SUMIFS(Dataset!$H:$H,Dataset!$F:$F,'credito latam'!$D$11,Dataset!$Z:$Z,AB$44,Dataset!$J:$J,"&lt;"&amp;$D51,Dataset!$J:$J,"&gt;="&amp;$C51))*10</f>
        <v>0</v>
      </c>
      <c r="AC51" s="117">
        <f>(SUMIFS(Dataset!$H:$H,Dataset!$F:$F,'credito latam'!$D$11,Dataset!$Z:$Z,AC$44,Dataset!$J:$J,"&lt;"&amp;$D51,Dataset!$J:$J,"&gt;="&amp;$C51))*10</f>
        <v>0</v>
      </c>
      <c r="AD51" s="117">
        <f>(SUMIFS(Dataset!$H:$H,Dataset!$F:$F,'credito latam'!$D$11,Dataset!$Z:$Z,AD$44,Dataset!$J:$J,"&lt;"&amp;$D51,Dataset!$J:$J,"&gt;="&amp;$C51))*10</f>
        <v>0</v>
      </c>
      <c r="AE51" s="117">
        <f>(SUMIFS(Dataset!$H:$H,Dataset!$F:$F,'credito latam'!$D$11,Dataset!$Z:$Z,AE$44,Dataset!$J:$J,"&lt;"&amp;$D51,Dataset!$J:$J,"&gt;="&amp;$C51))*10</f>
        <v>0</v>
      </c>
      <c r="AF51" s="117">
        <f>(SUMIFS(Dataset!$H:$H,Dataset!$F:$F,'credito latam'!$D$11,Dataset!$Z:$Z,AF$44,Dataset!$J:$J,"&lt;"&amp;$D51,Dataset!$J:$J,"&gt;="&amp;$C51))*10</f>
        <v>0</v>
      </c>
      <c r="AG51" s="118">
        <f>SUMIFS(Dataset!$H:$H,Dataset!$F:$F,'credito latam'!$D$11,Dataset!$J:$J,"&lt;"&amp;$D51,Dataset!J:J,"&gt;="&amp;$C51,Dataset!$Z:$Z,"&lt;&gt;CL",Dataset!$Z:$Z,"&lt;&gt;MX",Dataset!$Z:$Z,"&lt;&gt;CO",Dataset!$Z:$Z,"&lt;&gt;PE",Dataset!$Z:$Z,"&lt;&gt;BR",Dataset!$Z:$Z,"&lt;&gt;CI",Dataset!$Z:$Z,"&lt;&gt;PA")*10</f>
        <v>0</v>
      </c>
      <c r="AH51" s="87">
        <f t="shared" si="3"/>
        <v>0</v>
      </c>
    </row>
    <row r="52" spans="3:34" ht="33" customHeight="1" x14ac:dyDescent="0.3">
      <c r="C52" s="61">
        <v>6.5</v>
      </c>
      <c r="D52" s="81">
        <v>7.5</v>
      </c>
      <c r="E52" s="113">
        <f>SUMIFS(Dataset!$AK:$AK,Dataset!$F:$F,'credito latam'!$D$11,Dataset!$Z:$Z,E$44,Dataset!$J:$J,"&lt;"&amp;$D52,Dataset!$J:$J,"&gt;="&amp;$C52)</f>
        <v>0</v>
      </c>
      <c r="F52" s="83">
        <f>SUMIFS(Dataset!$AK:$AK,Dataset!$F:$F,'credito latam'!$D$11,Dataset!$Z:$Z,F$44,Dataset!$J:$J,"&lt;"&amp;$D52,Dataset!$J:$J,"&gt;="&amp;$C52)</f>
        <v>0</v>
      </c>
      <c r="G52" s="83">
        <f>SUMIFS(Dataset!$AK:$AK,Dataset!$F:$F,'credito latam'!$D$11,Dataset!$Z:$Z,G$44,Dataset!$J:$J,"&lt;"&amp;$D52,Dataset!$J:$J,"&gt;="&amp;$C52)</f>
        <v>0</v>
      </c>
      <c r="H52" s="83">
        <f>SUMIFS(Dataset!$AK:$AK,Dataset!$F:$F,'credito latam'!$D$11,Dataset!$Z:$Z,H$44,Dataset!$J:$J,"&lt;"&amp;$D52,Dataset!$J:$J,"&gt;="&amp;$C52)</f>
        <v>0</v>
      </c>
      <c r="I52" s="83">
        <f>SUMIFS(Dataset!$AK:$AK,Dataset!$F:$F,'credito latam'!$D$11,Dataset!$Z:$Z,I$44,Dataset!$J:$J,"&lt;"&amp;$D52,Dataset!$J:$J,"&gt;="&amp;$C52)</f>
        <v>0</v>
      </c>
      <c r="J52" s="83">
        <f>SUMIFS(Dataset!$AK:$AK,Dataset!$F:$F,'credito latam'!$D$11,Dataset!$Z:$Z,J$44,Dataset!$J:$J,"&lt;"&amp;$D52,Dataset!$J:$J,"&gt;="&amp;$C52)</f>
        <v>0</v>
      </c>
      <c r="K52" s="114">
        <f>SUMIFS(Dataset!$AK:$AK,Dataset!$F:$F,'credito latam'!$D$11,Dataset!$J:$J,"&lt;"&amp;$D52,Dataset!J:J,"&gt;="&amp;$C52,Dataset!$Z:$Z,"&lt;&gt;CL",Dataset!$Z:$Z,"&lt;&gt;MX",Dataset!$Z:$Z,"&lt;&gt;CO",Dataset!$Z:$Z,"&lt;&gt;PE",Dataset!$Z:$Z,"&lt;&gt;BR",Dataset!$Z:$Z,"&lt;&gt;PA")</f>
        <v>0</v>
      </c>
      <c r="L52" s="84">
        <f t="shared" si="1"/>
        <v>0</v>
      </c>
      <c r="M52" s="113">
        <f>SUMIFS(Dataset!$AK:$AK,Dataset!$F:$F,'credito latam'!$D$11,Dataset!$AN:$AN,"*AAA*",Dataset!$J:$J,"&lt;"&amp;$D52,Dataset!$J:$J,"&gt;="&amp;$C52)</f>
        <v>0</v>
      </c>
      <c r="N52" s="83">
        <f>SUMIFS(Dataset!$AK:$AK,Dataset!$F:$F,'credito latam'!$D$11,Dataset!$AN:$AN,"AA+",Dataset!$J:$J,"&lt;"&amp;$D52,Dataset!$J:$J,"&gt;="&amp;$C52)+SUMIFS(Dataset!$AK:$AK,Dataset!$F:$F,'credito latam'!$D$11,Dataset!$AN:$AN,"AA",Dataset!$J:$J,"&lt;"&amp;$D52,Dataset!$J:$J,"&gt;="&amp;$C52)+SUMIFS(Dataset!$AK:$AK,Dataset!$F:$F,'credito latam'!$D$11,Dataset!$AN:$AN,"AA-",Dataset!$J:$J,"&lt;"&amp;$D52,Dataset!$J:$J,"&gt;="&amp;$C52)</f>
        <v>0</v>
      </c>
      <c r="O52" s="83">
        <f>SUMIFS(Dataset!$AK:$AK,Dataset!$F:$F,'credito latam'!$D$11,Dataset!$AN:$AN,O$44,Dataset!$J:$J,"&lt;"&amp;$D52,Dataset!$J:$J,"&gt;="&amp;$C52)</f>
        <v>0</v>
      </c>
      <c r="P52" s="83">
        <f>SUMIFS(Dataset!$AK:$AK,Dataset!$F:$F,'credito latam'!$D$11,Dataset!$AN:$AN,P$44,Dataset!$J:$J,"&lt;"&amp;$D52,Dataset!$J:$J,"&gt;="&amp;$C52)</f>
        <v>0</v>
      </c>
      <c r="Q52" s="83">
        <f>SUMIFS(Dataset!$AK:$AK,Dataset!$F:$F,'credito latam'!$D$11,Dataset!$AN:$AN,Q$44,Dataset!$J:$J,"&lt;"&amp;$D52,Dataset!$J:$J,"&gt;="&amp;$C52)</f>
        <v>0</v>
      </c>
      <c r="R52" s="83">
        <f>SUMIFS(Dataset!$AK:$AK,Dataset!$F:$F,'credito latam'!$D$11,Dataset!$AN:$AN,R$44,Dataset!$J:$J,"&lt;"&amp;$D52,Dataset!$J:$J,"&gt;="&amp;$C52)</f>
        <v>0</v>
      </c>
      <c r="S52" s="83">
        <f>SUMIFS(Dataset!$AK:$AK,Dataset!$F:$F,'credito latam'!$D$11,Dataset!$AN:$AN,S$44,Dataset!$J:$J,"&lt;"&amp;$D52,Dataset!$J:$J,"&gt;="&amp;$C52)</f>
        <v>0</v>
      </c>
      <c r="T52" s="83">
        <f>SUMIFS(Dataset!$AK:$AK,Dataset!$F:$F,'credito latam'!$D$11,Dataset!$AN:$AN,T$44,Dataset!$J:$J,"&lt;"&amp;$D52,Dataset!$J:$J,"&gt;="&amp;$C52)</f>
        <v>0</v>
      </c>
      <c r="U52" s="83">
        <f>SUMIFS(Dataset!$AK:$AK,Dataset!$F:$F,'credito latam'!$D$11,Dataset!$AN:$AN,U$44,Dataset!$J:$J,"&lt;"&amp;$D52,Dataset!$J:$J,"&gt;="&amp;$C52)</f>
        <v>0</v>
      </c>
      <c r="V52" s="83">
        <f>SUMIFS(Dataset!$AK:$AK,Dataset!$F:$F,'credito latam'!$D$11,Dataset!$AN:$AN,V$44,Dataset!$J:$J,"&lt;"&amp;$D52,Dataset!$J:$J,"&gt;="&amp;$C52)</f>
        <v>0</v>
      </c>
      <c r="W52" s="83">
        <f>SUMIFS(Dataset!$AK:$AK,Dataset!$F:$F,'credito latam'!$D$11,Dataset!$AN:$AN,W$44,Dataset!$J:$J,"&lt;"&amp;$D52,Dataset!$J:$J,"&gt;="&amp;$C52)</f>
        <v>0</v>
      </c>
      <c r="X52" s="83">
        <f>SUMIFS(Dataset!$AK:$AK,Dataset!$F:$F,'credito latam'!$D$11,Dataset!$AN:$AN,"B-",Dataset!$J:$J,"&lt;"&amp;$D52,Dataset!$J:$J,"&gt;="&amp;$C52)+SUMIFS(Dataset!$AK:$AK,Dataset!$F:$F,'credito latam'!$D$11,Dataset!$AN:$AN,"B",Dataset!$J:$J,"&lt;"&amp;$D52,Dataset!$J:$J,"&gt;="&amp;$C52)+SUMIFS(Dataset!$AK:$AK,Dataset!$F:$F,'credito latam'!$D$11,Dataset!$AN:$AN,"B+",Dataset!$J:$J,"&lt;"&amp;$D52,Dataset!$J:$J,"&gt;="&amp;$C52)</f>
        <v>0</v>
      </c>
      <c r="Y52" s="114">
        <f>SUMIFS(Dataset!$AK:$AK,Dataset!$F:$F,'credito latam'!$D$11,Dataset!$AN:$AN,Y$44,Dataset!$J:$J,"&lt;"&amp;$D52,Dataset!$J:$J,"&gt;="&amp;$C52)</f>
        <v>0</v>
      </c>
      <c r="Z52" s="84">
        <f t="shared" si="2"/>
        <v>0</v>
      </c>
      <c r="AA52" s="115">
        <f>(SUMIFS(Dataset!$H:$H,Dataset!$F:$F,'credito latam'!$D$11,Dataset!$Z:$Z,AA$44,Dataset!$J:$J,"&lt;"&amp;$D52,Dataset!$J:$J,"&gt;="&amp;$C52))*10</f>
        <v>0</v>
      </c>
      <c r="AB52" s="86">
        <f>(SUMIFS(Dataset!$H:$H,Dataset!$F:$F,'credito latam'!$D$11,Dataset!$Z:$Z,AB$44,Dataset!$J:$J,"&lt;"&amp;$D52,Dataset!$J:$J,"&gt;="&amp;$C52))*10</f>
        <v>0</v>
      </c>
      <c r="AC52" s="86">
        <f>(SUMIFS(Dataset!$H:$H,Dataset!$F:$F,'credito latam'!$D$11,Dataset!$Z:$Z,AC$44,Dataset!$J:$J,"&lt;"&amp;$D52,Dataset!$J:$J,"&gt;="&amp;$C52))*10</f>
        <v>0</v>
      </c>
      <c r="AD52" s="86">
        <f>(SUMIFS(Dataset!$H:$H,Dataset!$F:$F,'credito latam'!$D$11,Dataset!$Z:$Z,AD$44,Dataset!$J:$J,"&lt;"&amp;$D52,Dataset!$J:$J,"&gt;="&amp;$C52))*10</f>
        <v>0</v>
      </c>
      <c r="AE52" s="86">
        <f>(SUMIFS(Dataset!$H:$H,Dataset!$F:$F,'credito latam'!$D$11,Dataset!$Z:$Z,AE$44,Dataset!$J:$J,"&lt;"&amp;$D52,Dataset!$J:$J,"&gt;="&amp;$C52))*10</f>
        <v>0</v>
      </c>
      <c r="AF52" s="86">
        <f>(SUMIFS(Dataset!$H:$H,Dataset!$F:$F,'credito latam'!$D$11,Dataset!$Z:$Z,AF$44,Dataset!$J:$J,"&lt;"&amp;$D52,Dataset!$J:$J,"&gt;="&amp;$C52))*10</f>
        <v>0</v>
      </c>
      <c r="AG52" s="116">
        <f>SUMIFS(Dataset!$H:$H,Dataset!$F:$F,'credito latam'!$D$11,Dataset!$J:$J,"&lt;"&amp;$D52,Dataset!J:J,"&gt;="&amp;$C52,Dataset!$Z:$Z,"&lt;&gt;CL",Dataset!$Z:$Z,"&lt;&gt;MX",Dataset!$Z:$Z,"&lt;&gt;CO",Dataset!$Z:$Z,"&lt;&gt;PE",Dataset!$Z:$Z,"&lt;&gt;BR",Dataset!$Z:$Z,"&lt;&gt;CI",Dataset!$Z:$Z,"&lt;&gt;PA")*10</f>
        <v>0</v>
      </c>
      <c r="AH52" s="87">
        <f t="shared" si="3"/>
        <v>0</v>
      </c>
    </row>
    <row r="53" spans="3:34" ht="33" customHeight="1" x14ac:dyDescent="0.3">
      <c r="C53" s="61">
        <v>7.5</v>
      </c>
      <c r="D53" s="81">
        <v>8.5</v>
      </c>
      <c r="E53" s="113">
        <f>SUMIFS(Dataset!$AK:$AK,Dataset!$F:$F,'credito latam'!$D$11,Dataset!$Z:$Z,E$44,Dataset!$J:$J,"&lt;"&amp;$D53,Dataset!$J:$J,"&gt;="&amp;$C53)</f>
        <v>0</v>
      </c>
      <c r="F53" s="101">
        <f>SUMIFS(Dataset!$AK:$AK,Dataset!$F:$F,'credito latam'!$D$11,Dataset!$Z:$Z,F$44,Dataset!$J:$J,"&lt;"&amp;$D53,Dataset!$J:$J,"&gt;="&amp;$C53)</f>
        <v>0</v>
      </c>
      <c r="G53" s="101">
        <f>SUMIFS(Dataset!$AK:$AK,Dataset!$F:$F,'credito latam'!$D$11,Dataset!$Z:$Z,G$44,Dataset!$J:$J,"&lt;"&amp;$D53,Dataset!$J:$J,"&gt;="&amp;$C53)</f>
        <v>0</v>
      </c>
      <c r="H53" s="101">
        <f>SUMIFS(Dataset!$AK:$AK,Dataset!$F:$F,'credito latam'!$D$11,Dataset!$Z:$Z,H$44,Dataset!$J:$J,"&lt;"&amp;$D53,Dataset!$J:$J,"&gt;="&amp;$C53)</f>
        <v>0</v>
      </c>
      <c r="I53" s="101">
        <f>SUMIFS(Dataset!$AK:$AK,Dataset!$F:$F,'credito latam'!$D$11,Dataset!$Z:$Z,I$44,Dataset!$J:$J,"&lt;"&amp;$D53,Dataset!$J:$J,"&gt;="&amp;$C53)</f>
        <v>0</v>
      </c>
      <c r="J53" s="101">
        <f>SUMIFS(Dataset!$AK:$AK,Dataset!$F:$F,'credito latam'!$D$11,Dataset!$Z:$Z,J$44,Dataset!$J:$J,"&lt;"&amp;$D53,Dataset!$J:$J,"&gt;="&amp;$C53)</f>
        <v>0</v>
      </c>
      <c r="K53" s="102">
        <f>SUMIFS(Dataset!$AK:$AK,Dataset!$F:$F,'credito latam'!$D$11,Dataset!$J:$J,"&lt;"&amp;$D53,Dataset!J:J,"&gt;="&amp;$C53,Dataset!$Z:$Z,"&lt;&gt;CL",Dataset!$Z:$Z,"&lt;&gt;MX",Dataset!$Z:$Z,"&lt;&gt;CO",Dataset!$Z:$Z,"&lt;&gt;PE",Dataset!$Z:$Z,"&lt;&gt;BR",Dataset!$Z:$Z,"&lt;&gt;PA")</f>
        <v>0</v>
      </c>
      <c r="L53" s="84">
        <f t="shared" si="1"/>
        <v>0</v>
      </c>
      <c r="M53" s="113">
        <f>SUMIFS(Dataset!$AK:$AK,Dataset!$F:$F,'credito latam'!$D$11,Dataset!$AN:$AN,"*AAA*",Dataset!$J:$J,"&lt;"&amp;$D53,Dataset!$J:$J,"&gt;="&amp;$C53)</f>
        <v>0</v>
      </c>
      <c r="N53" s="101">
        <f>SUMIFS(Dataset!$AK:$AK,Dataset!$F:$F,'credito latam'!$D$11,Dataset!$AN:$AN,"AA+",Dataset!$J:$J,"&lt;"&amp;$D53,Dataset!$J:$J,"&gt;="&amp;$C53)+SUMIFS(Dataset!$AK:$AK,Dataset!$F:$F,'credito latam'!$D$11,Dataset!$AN:$AN,"AA",Dataset!$J:$J,"&lt;"&amp;$D53,Dataset!$J:$J,"&gt;="&amp;$C53)+SUMIFS(Dataset!$AK:$AK,Dataset!$F:$F,'credito latam'!$D$11,Dataset!$AN:$AN,"AA-",Dataset!$J:$J,"&lt;"&amp;$D53,Dataset!$J:$J,"&gt;="&amp;$C53)</f>
        <v>0</v>
      </c>
      <c r="O53" s="101">
        <f>SUMIFS(Dataset!$AK:$AK,Dataset!$F:$F,'credito latam'!$D$11,Dataset!$AN:$AN,O$44,Dataset!$J:$J,"&lt;"&amp;$D53,Dataset!$J:$J,"&gt;="&amp;$C53)</f>
        <v>0</v>
      </c>
      <c r="P53" s="101">
        <f>SUMIFS(Dataset!$AK:$AK,Dataset!$F:$F,'credito latam'!$D$11,Dataset!$AN:$AN,P$44,Dataset!$J:$J,"&lt;"&amp;$D53,Dataset!$J:$J,"&gt;="&amp;$C53)</f>
        <v>0</v>
      </c>
      <c r="Q53" s="101">
        <f>SUMIFS(Dataset!$AK:$AK,Dataset!$F:$F,'credito latam'!$D$11,Dataset!$AN:$AN,Q$44,Dataset!$J:$J,"&lt;"&amp;$D53,Dataset!$J:$J,"&gt;="&amp;$C53)</f>
        <v>0</v>
      </c>
      <c r="R53" s="101">
        <f>SUMIFS(Dataset!$AK:$AK,Dataset!$F:$F,'credito latam'!$D$11,Dataset!$AN:$AN,R$44,Dataset!$J:$J,"&lt;"&amp;$D53,Dataset!$J:$J,"&gt;="&amp;$C53)</f>
        <v>0</v>
      </c>
      <c r="S53" s="101">
        <f>SUMIFS(Dataset!$AK:$AK,Dataset!$F:$F,'credito latam'!$D$11,Dataset!$AN:$AN,S$44,Dataset!$J:$J,"&lt;"&amp;$D53,Dataset!$J:$J,"&gt;="&amp;$C53)</f>
        <v>0</v>
      </c>
      <c r="T53" s="101">
        <f>SUMIFS(Dataset!$AK:$AK,Dataset!$F:$F,'credito latam'!$D$11,Dataset!$AN:$AN,T$44,Dataset!$J:$J,"&lt;"&amp;$D53,Dataset!$J:$J,"&gt;="&amp;$C53)</f>
        <v>0</v>
      </c>
      <c r="U53" s="101">
        <f>SUMIFS(Dataset!$AK:$AK,Dataset!$F:$F,'credito latam'!$D$11,Dataset!$AN:$AN,U$44,Dataset!$J:$J,"&lt;"&amp;$D53,Dataset!$J:$J,"&gt;="&amp;$C53)</f>
        <v>0</v>
      </c>
      <c r="V53" s="101">
        <f>SUMIFS(Dataset!$AK:$AK,Dataset!$F:$F,'credito latam'!$D$11,Dataset!$AN:$AN,V$44,Dataset!$J:$J,"&lt;"&amp;$D53,Dataset!$J:$J,"&gt;="&amp;$C53)</f>
        <v>0</v>
      </c>
      <c r="W53" s="101">
        <f>SUMIFS(Dataset!$AK:$AK,Dataset!$F:$F,'credito latam'!$D$11,Dataset!$AN:$AN,W$44,Dataset!$J:$J,"&lt;"&amp;$D53,Dataset!$J:$J,"&gt;="&amp;$C53)</f>
        <v>0</v>
      </c>
      <c r="X53" s="101">
        <f>SUMIFS(Dataset!$AK:$AK,Dataset!$F:$F,'credito latam'!$D$11,Dataset!$AN:$AN,"B-",Dataset!$J:$J,"&lt;"&amp;$D53,Dataset!$J:$J,"&gt;="&amp;$C53)+SUMIFS(Dataset!$AK:$AK,Dataset!$F:$F,'credito latam'!$D$11,Dataset!$AN:$AN,"B",Dataset!$J:$J,"&lt;"&amp;$D53,Dataset!$J:$J,"&gt;="&amp;$C53)+SUMIFS(Dataset!$AK:$AK,Dataset!$F:$F,'credito latam'!$D$11,Dataset!$AN:$AN,"B+",Dataset!$J:$J,"&lt;"&amp;$D53,Dataset!$J:$J,"&gt;="&amp;$C53)</f>
        <v>0</v>
      </c>
      <c r="Y53" s="102">
        <f>SUMIFS(Dataset!$AK:$AK,Dataset!$F:$F,'credito latam'!$D$11,Dataset!$AN:$AN,Y$44,Dataset!$J:$J,"&lt;"&amp;$D53,Dataset!$J:$J,"&gt;="&amp;$C53)</f>
        <v>0</v>
      </c>
      <c r="Z53" s="84">
        <f t="shared" si="2"/>
        <v>0</v>
      </c>
      <c r="AA53" s="115">
        <f>(SUMIFS(Dataset!$H:$H,Dataset!$F:$F,'credito latam'!$D$11,Dataset!$Z:$Z,AA$44,Dataset!$J:$J,"&lt;"&amp;$D53,Dataset!$J:$J,"&gt;="&amp;$C53))*10</f>
        <v>0</v>
      </c>
      <c r="AB53" s="117">
        <f>(SUMIFS(Dataset!$H:$H,Dataset!$F:$F,'credito latam'!$D$11,Dataset!$Z:$Z,AB$44,Dataset!$J:$J,"&lt;"&amp;$D53,Dataset!$J:$J,"&gt;="&amp;$C53))*10</f>
        <v>0</v>
      </c>
      <c r="AC53" s="117">
        <f>(SUMIFS(Dataset!$H:$H,Dataset!$F:$F,'credito latam'!$D$11,Dataset!$Z:$Z,AC$44,Dataset!$J:$J,"&lt;"&amp;$D53,Dataset!$J:$J,"&gt;="&amp;$C53))*10</f>
        <v>0</v>
      </c>
      <c r="AD53" s="117">
        <f>(SUMIFS(Dataset!$H:$H,Dataset!$F:$F,'credito latam'!$D$11,Dataset!$Z:$Z,AD$44,Dataset!$J:$J,"&lt;"&amp;$D53,Dataset!$J:$J,"&gt;="&amp;$C53))*10</f>
        <v>0</v>
      </c>
      <c r="AE53" s="117">
        <f>(SUMIFS(Dataset!$H:$H,Dataset!$F:$F,'credito latam'!$D$11,Dataset!$Z:$Z,AE$44,Dataset!$J:$J,"&lt;"&amp;$D53,Dataset!$J:$J,"&gt;="&amp;$C53))*10</f>
        <v>0</v>
      </c>
      <c r="AF53" s="117">
        <f>(SUMIFS(Dataset!$H:$H,Dataset!$F:$F,'credito latam'!$D$11,Dataset!$Z:$Z,AF$44,Dataset!$J:$J,"&lt;"&amp;$D53,Dataset!$J:$J,"&gt;="&amp;$C53))*10</f>
        <v>0</v>
      </c>
      <c r="AG53" s="118">
        <f>SUMIFS(Dataset!$H:$H,Dataset!$F:$F,'credito latam'!$D$11,Dataset!$J:$J,"&lt;"&amp;$D53,Dataset!J:J,"&gt;="&amp;$C53,Dataset!$Z:$Z,"&lt;&gt;CL",Dataset!$Z:$Z,"&lt;&gt;MX",Dataset!$Z:$Z,"&lt;&gt;CO",Dataset!$Z:$Z,"&lt;&gt;PE",Dataset!$Z:$Z,"&lt;&gt;BR",Dataset!$Z:$Z,"&lt;&gt;CI",Dataset!$Z:$Z,"&lt;&gt;PA")*10</f>
        <v>0</v>
      </c>
      <c r="AH53" s="87">
        <f t="shared" si="3"/>
        <v>0</v>
      </c>
    </row>
    <row r="54" spans="3:34" ht="33" customHeight="1" x14ac:dyDescent="0.3">
      <c r="C54" s="61">
        <v>8.5</v>
      </c>
      <c r="D54" s="81">
        <v>9.5</v>
      </c>
      <c r="E54" s="113">
        <f>SUMIFS(Dataset!$AK:$AK,Dataset!$F:$F,'credito latam'!$D$11,Dataset!$Z:$Z,E$44,Dataset!$J:$J,"&lt;"&amp;$D54,Dataset!$J:$J,"&gt;="&amp;$C54)</f>
        <v>0</v>
      </c>
      <c r="F54" s="83">
        <f>SUMIFS(Dataset!$AK:$AK,Dataset!$F:$F,'credito latam'!$D$11,Dataset!$Z:$Z,F$44,Dataset!$J:$J,"&lt;"&amp;$D54,Dataset!$J:$J,"&gt;="&amp;$C54)</f>
        <v>0</v>
      </c>
      <c r="G54" s="83">
        <f>SUMIFS(Dataset!$AK:$AK,Dataset!$F:$F,'credito latam'!$D$11,Dataset!$Z:$Z,G$44,Dataset!$J:$J,"&lt;"&amp;$D54,Dataset!$J:$J,"&gt;="&amp;$C54)</f>
        <v>0</v>
      </c>
      <c r="H54" s="83">
        <f>SUMIFS(Dataset!$AK:$AK,Dataset!$F:$F,'credito latam'!$D$11,Dataset!$Z:$Z,H$44,Dataset!$J:$J,"&lt;"&amp;$D54,Dataset!$J:$J,"&gt;="&amp;$C54)</f>
        <v>0</v>
      </c>
      <c r="I54" s="83">
        <f>SUMIFS(Dataset!$AK:$AK,Dataset!$F:$F,'credito latam'!$D$11,Dataset!$Z:$Z,I$44,Dataset!$J:$J,"&lt;"&amp;$D54,Dataset!$J:$J,"&gt;="&amp;$C54)</f>
        <v>0</v>
      </c>
      <c r="J54" s="83">
        <f>SUMIFS(Dataset!$AK:$AK,Dataset!$F:$F,'credito latam'!$D$11,Dataset!$Z:$Z,J$44,Dataset!$J:$J,"&lt;"&amp;$D54,Dataset!$J:$J,"&gt;="&amp;$C54)</f>
        <v>0</v>
      </c>
      <c r="K54" s="114">
        <f>SUMIFS(Dataset!$AK:$AK,Dataset!$F:$F,'credito latam'!$D$11,Dataset!$J:$J,"&lt;"&amp;$D54,Dataset!J:J,"&gt;="&amp;$C54,Dataset!$Z:$Z,"&lt;&gt;CL",Dataset!$Z:$Z,"&lt;&gt;MX",Dataset!$Z:$Z,"&lt;&gt;CO",Dataset!$Z:$Z,"&lt;&gt;PE",Dataset!$Z:$Z,"&lt;&gt;BR",Dataset!$Z:$Z,"&lt;&gt;PA")</f>
        <v>0</v>
      </c>
      <c r="L54" s="84">
        <f t="shared" si="1"/>
        <v>0</v>
      </c>
      <c r="M54" s="113">
        <f>SUMIFS(Dataset!$AK:$AK,Dataset!$F:$F,'credito latam'!$D$11,Dataset!$AN:$AN,"*AAA*",Dataset!$J:$J,"&lt;"&amp;$D54,Dataset!$J:$J,"&gt;="&amp;$C54)</f>
        <v>0</v>
      </c>
      <c r="N54" s="83">
        <f>SUMIFS(Dataset!$AK:$AK,Dataset!$F:$F,'credito latam'!$D$11,Dataset!$AN:$AN,"AA+",Dataset!$J:$J,"&lt;"&amp;$D54,Dataset!$J:$J,"&gt;="&amp;$C54)+SUMIFS(Dataset!$AK:$AK,Dataset!$F:$F,'credito latam'!$D$11,Dataset!$AN:$AN,"AA",Dataset!$J:$J,"&lt;"&amp;$D54,Dataset!$J:$J,"&gt;="&amp;$C54)+SUMIFS(Dataset!$AK:$AK,Dataset!$F:$F,'credito latam'!$D$11,Dataset!$AN:$AN,"AA-",Dataset!$J:$J,"&lt;"&amp;$D54,Dataset!$J:$J,"&gt;="&amp;$C54)</f>
        <v>0</v>
      </c>
      <c r="O54" s="83">
        <f>SUMIFS(Dataset!$AK:$AK,Dataset!$F:$F,'credito latam'!$D$11,Dataset!$AN:$AN,O$44,Dataset!$J:$J,"&lt;"&amp;$D54,Dataset!$J:$J,"&gt;="&amp;$C54)</f>
        <v>0</v>
      </c>
      <c r="P54" s="83">
        <f>SUMIFS(Dataset!$AK:$AK,Dataset!$F:$F,'credito latam'!$D$11,Dataset!$AN:$AN,P$44,Dataset!$J:$J,"&lt;"&amp;$D54,Dataset!$J:$J,"&gt;="&amp;$C54)</f>
        <v>0</v>
      </c>
      <c r="Q54" s="83">
        <f>SUMIFS(Dataset!$AK:$AK,Dataset!$F:$F,'credito latam'!$D$11,Dataset!$AN:$AN,Q$44,Dataset!$J:$J,"&lt;"&amp;$D54,Dataset!$J:$J,"&gt;="&amp;$C54)</f>
        <v>0</v>
      </c>
      <c r="R54" s="83">
        <f>SUMIFS(Dataset!$AK:$AK,Dataset!$F:$F,'credito latam'!$D$11,Dataset!$AN:$AN,R$44,Dataset!$J:$J,"&lt;"&amp;$D54,Dataset!$J:$J,"&gt;="&amp;$C54)</f>
        <v>0</v>
      </c>
      <c r="S54" s="83">
        <f>SUMIFS(Dataset!$AK:$AK,Dataset!$F:$F,'credito latam'!$D$11,Dataset!$AN:$AN,S$44,Dataset!$J:$J,"&lt;"&amp;$D54,Dataset!$J:$J,"&gt;="&amp;$C54)</f>
        <v>0</v>
      </c>
      <c r="T54" s="83">
        <f>SUMIFS(Dataset!$AK:$AK,Dataset!$F:$F,'credito latam'!$D$11,Dataset!$AN:$AN,T$44,Dataset!$J:$J,"&lt;"&amp;$D54,Dataset!$J:$J,"&gt;="&amp;$C54)</f>
        <v>0</v>
      </c>
      <c r="U54" s="83">
        <f>SUMIFS(Dataset!$AK:$AK,Dataset!$F:$F,'credito latam'!$D$11,Dataset!$AN:$AN,U$44,Dataset!$J:$J,"&lt;"&amp;$D54,Dataset!$J:$J,"&gt;="&amp;$C54)</f>
        <v>0</v>
      </c>
      <c r="V54" s="83">
        <f>SUMIFS(Dataset!$AK:$AK,Dataset!$F:$F,'credito latam'!$D$11,Dataset!$AN:$AN,V$44,Dataset!$J:$J,"&lt;"&amp;$D54,Dataset!$J:$J,"&gt;="&amp;$C54)</f>
        <v>0</v>
      </c>
      <c r="W54" s="83">
        <f>SUMIFS(Dataset!$AK:$AK,Dataset!$F:$F,'credito latam'!$D$11,Dataset!$AN:$AN,W$44,Dataset!$J:$J,"&lt;"&amp;$D54,Dataset!$J:$J,"&gt;="&amp;$C54)</f>
        <v>0</v>
      </c>
      <c r="X54" s="83">
        <f>SUMIFS(Dataset!$AK:$AK,Dataset!$F:$F,'credito latam'!$D$11,Dataset!$AN:$AN,"B-",Dataset!$J:$J,"&lt;"&amp;$D54,Dataset!$J:$J,"&gt;="&amp;$C54)+SUMIFS(Dataset!$AK:$AK,Dataset!$F:$F,'credito latam'!$D$11,Dataset!$AN:$AN,"B",Dataset!$J:$J,"&lt;"&amp;$D54,Dataset!$J:$J,"&gt;="&amp;$C54)+SUMIFS(Dataset!$AK:$AK,Dataset!$F:$F,'credito latam'!$D$11,Dataset!$AN:$AN,"B+",Dataset!$J:$J,"&lt;"&amp;$D54,Dataset!$J:$J,"&gt;="&amp;$C54)</f>
        <v>0</v>
      </c>
      <c r="Y54" s="114">
        <f>SUMIFS(Dataset!$AK:$AK,Dataset!$F:$F,'credito latam'!$D$11,Dataset!$AN:$AN,Y$44,Dataset!$J:$J,"&lt;"&amp;$D54,Dataset!$J:$J,"&gt;="&amp;$C54)</f>
        <v>0</v>
      </c>
      <c r="Z54" s="84">
        <f t="shared" si="2"/>
        <v>0</v>
      </c>
      <c r="AA54" s="115">
        <f>(SUMIFS(Dataset!$H:$H,Dataset!$F:$F,'credito latam'!$D$11,Dataset!$Z:$Z,AA$44,Dataset!$J:$J,"&lt;"&amp;$D54,Dataset!$J:$J,"&gt;="&amp;$C54))*10</f>
        <v>0</v>
      </c>
      <c r="AB54" s="86">
        <f>(SUMIFS(Dataset!$H:$H,Dataset!$F:$F,'credito latam'!$D$11,Dataset!$Z:$Z,AB$44,Dataset!$J:$J,"&lt;"&amp;$D54,Dataset!$J:$J,"&gt;="&amp;$C54))*10</f>
        <v>0</v>
      </c>
      <c r="AC54" s="86">
        <f>(SUMIFS(Dataset!$H:$H,Dataset!$F:$F,'credito latam'!$D$11,Dataset!$Z:$Z,AC$44,Dataset!$J:$J,"&lt;"&amp;$D54,Dataset!$J:$J,"&gt;="&amp;$C54))*10</f>
        <v>0</v>
      </c>
      <c r="AD54" s="86">
        <f>(SUMIFS(Dataset!$H:$H,Dataset!$F:$F,'credito latam'!$D$11,Dataset!$Z:$Z,AD$44,Dataset!$J:$J,"&lt;"&amp;$D54,Dataset!$J:$J,"&gt;="&amp;$C54))*10</f>
        <v>0</v>
      </c>
      <c r="AE54" s="86">
        <f>(SUMIFS(Dataset!$H:$H,Dataset!$F:$F,'credito latam'!$D$11,Dataset!$Z:$Z,AE$44,Dataset!$J:$J,"&lt;"&amp;$D54,Dataset!$J:$J,"&gt;="&amp;$C54))*10</f>
        <v>0</v>
      </c>
      <c r="AF54" s="86">
        <f>(SUMIFS(Dataset!$H:$H,Dataset!$F:$F,'credito latam'!$D$11,Dataset!$Z:$Z,AF$44,Dataset!$J:$J,"&lt;"&amp;$D54,Dataset!$J:$J,"&gt;="&amp;$C54))*10</f>
        <v>0</v>
      </c>
      <c r="AG54" s="116">
        <f>SUMIFS(Dataset!$H:$H,Dataset!$F:$F,'credito latam'!$D$11,Dataset!$J:$J,"&lt;"&amp;$D54,Dataset!J:J,"&gt;="&amp;$C54,Dataset!$Z:$Z,"&lt;&gt;CL",Dataset!$Z:$Z,"&lt;&gt;MX",Dataset!$Z:$Z,"&lt;&gt;CO",Dataset!$Z:$Z,"&lt;&gt;PE",Dataset!$Z:$Z,"&lt;&gt;BR",Dataset!$Z:$Z,"&lt;&gt;CI",Dataset!$Z:$Z,"&lt;&gt;PA")*10</f>
        <v>0</v>
      </c>
      <c r="AH54" s="87">
        <f t="shared" si="3"/>
        <v>0</v>
      </c>
    </row>
    <row r="55" spans="3:34" ht="33" customHeight="1" x14ac:dyDescent="0.3">
      <c r="C55" s="61">
        <v>9.5</v>
      </c>
      <c r="D55" s="81">
        <v>10.5</v>
      </c>
      <c r="E55" s="113">
        <f>SUMIFS(Dataset!$AK:$AK,Dataset!$F:$F,'credito latam'!$D$11,Dataset!$Z:$Z,E$44,Dataset!$J:$J,"&lt;"&amp;$D55,Dataset!$J:$J,"&gt;="&amp;$C55)</f>
        <v>0</v>
      </c>
      <c r="F55" s="101">
        <f>SUMIFS(Dataset!$AK:$AK,Dataset!$F:$F,'credito latam'!$D$11,Dataset!$Z:$Z,F$44,Dataset!$J:$J,"&lt;"&amp;$D55,Dataset!$J:$J,"&gt;="&amp;$C55)</f>
        <v>0</v>
      </c>
      <c r="G55" s="101">
        <f>SUMIFS(Dataset!$AK:$AK,Dataset!$F:$F,'credito latam'!$D$11,Dataset!$Z:$Z,G$44,Dataset!$J:$J,"&lt;"&amp;$D55,Dataset!$J:$J,"&gt;="&amp;$C55)</f>
        <v>0</v>
      </c>
      <c r="H55" s="101">
        <f>SUMIFS(Dataset!$AK:$AK,Dataset!$F:$F,'credito latam'!$D$11,Dataset!$Z:$Z,H$44,Dataset!$J:$J,"&lt;"&amp;$D55,Dataset!$J:$J,"&gt;="&amp;$C55)</f>
        <v>0</v>
      </c>
      <c r="I55" s="101">
        <f>SUMIFS(Dataset!$AK:$AK,Dataset!$F:$F,'credito latam'!$D$11,Dataset!$Z:$Z,I$44,Dataset!$J:$J,"&lt;"&amp;$D55,Dataset!$J:$J,"&gt;="&amp;$C55)</f>
        <v>0</v>
      </c>
      <c r="J55" s="101">
        <f>SUMIFS(Dataset!$AK:$AK,Dataset!$F:$F,'credito latam'!$D$11,Dataset!$Z:$Z,J$44,Dataset!$J:$J,"&lt;"&amp;$D55,Dataset!$J:$J,"&gt;="&amp;$C55)</f>
        <v>0</v>
      </c>
      <c r="K55" s="102">
        <f>SUMIFS(Dataset!$AK:$AK,Dataset!$F:$F,'credito latam'!$D$11,Dataset!$J:$J,"&lt;"&amp;$D55,Dataset!J:J,"&gt;="&amp;$C55,Dataset!$Z:$Z,"&lt;&gt;CL",Dataset!$Z:$Z,"&lt;&gt;MX",Dataset!$Z:$Z,"&lt;&gt;CO",Dataset!$Z:$Z,"&lt;&gt;PE",Dataset!$Z:$Z,"&lt;&gt;BR",Dataset!$Z:$Z,"&lt;&gt;PA")</f>
        <v>0</v>
      </c>
      <c r="L55" s="84">
        <f t="shared" si="1"/>
        <v>0</v>
      </c>
      <c r="M55" s="113">
        <f>SUMIFS(Dataset!$AK:$AK,Dataset!$F:$F,'credito latam'!$D$11,Dataset!$AN:$AN,"*AAA*",Dataset!$J:$J,"&lt;"&amp;$D55,Dataset!$J:$J,"&gt;="&amp;$C55)</f>
        <v>0</v>
      </c>
      <c r="N55" s="101">
        <f>SUMIFS(Dataset!$AK:$AK,Dataset!$F:$F,'credito latam'!$D$11,Dataset!$AN:$AN,"AA+",Dataset!$J:$J,"&lt;"&amp;$D55,Dataset!$J:$J,"&gt;="&amp;$C55)+SUMIFS(Dataset!$AK:$AK,Dataset!$F:$F,'credito latam'!$D$11,Dataset!$AN:$AN,"AA",Dataset!$J:$J,"&lt;"&amp;$D55,Dataset!$J:$J,"&gt;="&amp;$C55)+SUMIFS(Dataset!$AK:$AK,Dataset!$F:$F,'credito latam'!$D$11,Dataset!$AN:$AN,"AA-",Dataset!$J:$J,"&lt;"&amp;$D55,Dataset!$J:$J,"&gt;="&amp;$C55)</f>
        <v>0</v>
      </c>
      <c r="O55" s="101">
        <f>SUMIFS(Dataset!$AK:$AK,Dataset!$F:$F,'credito latam'!$D$11,Dataset!$AN:$AN,O$44,Dataset!$J:$J,"&lt;"&amp;$D55,Dataset!$J:$J,"&gt;="&amp;$C55)</f>
        <v>0</v>
      </c>
      <c r="P55" s="101">
        <f>SUMIFS(Dataset!$AK:$AK,Dataset!$F:$F,'credito latam'!$D$11,Dataset!$AN:$AN,P$44,Dataset!$J:$J,"&lt;"&amp;$D55,Dataset!$J:$J,"&gt;="&amp;$C55)</f>
        <v>0</v>
      </c>
      <c r="Q55" s="101">
        <f>SUMIFS(Dataset!$AK:$AK,Dataset!$F:$F,'credito latam'!$D$11,Dataset!$AN:$AN,Q$44,Dataset!$J:$J,"&lt;"&amp;$D55,Dataset!$J:$J,"&gt;="&amp;$C55)</f>
        <v>0</v>
      </c>
      <c r="R55" s="101">
        <f>SUMIFS(Dataset!$AK:$AK,Dataset!$F:$F,'credito latam'!$D$11,Dataset!$AN:$AN,R$44,Dataset!$J:$J,"&lt;"&amp;$D55,Dataset!$J:$J,"&gt;="&amp;$C55)</f>
        <v>0</v>
      </c>
      <c r="S55" s="101">
        <f>SUMIFS(Dataset!$AK:$AK,Dataset!$F:$F,'credito latam'!$D$11,Dataset!$AN:$AN,S$44,Dataset!$J:$J,"&lt;"&amp;$D55,Dataset!$J:$J,"&gt;="&amp;$C55)</f>
        <v>0</v>
      </c>
      <c r="T55" s="101">
        <f>SUMIFS(Dataset!$AK:$AK,Dataset!$F:$F,'credito latam'!$D$11,Dataset!$AN:$AN,T$44,Dataset!$J:$J,"&lt;"&amp;$D55,Dataset!$J:$J,"&gt;="&amp;$C55)</f>
        <v>0</v>
      </c>
      <c r="U55" s="101">
        <f>SUMIFS(Dataset!$AK:$AK,Dataset!$F:$F,'credito latam'!$D$11,Dataset!$AN:$AN,U$44,Dataset!$J:$J,"&lt;"&amp;$D55,Dataset!$J:$J,"&gt;="&amp;$C55)</f>
        <v>0</v>
      </c>
      <c r="V55" s="101">
        <f>SUMIFS(Dataset!$AK:$AK,Dataset!$F:$F,'credito latam'!$D$11,Dataset!$AN:$AN,V$44,Dataset!$J:$J,"&lt;"&amp;$D55,Dataset!$J:$J,"&gt;="&amp;$C55)</f>
        <v>0</v>
      </c>
      <c r="W55" s="101">
        <f>SUMIFS(Dataset!$AK:$AK,Dataset!$F:$F,'credito latam'!$D$11,Dataset!$AN:$AN,W$44,Dataset!$J:$J,"&lt;"&amp;$D55,Dataset!$J:$J,"&gt;="&amp;$C55)</f>
        <v>0</v>
      </c>
      <c r="X55" s="101">
        <f>SUMIFS(Dataset!$AK:$AK,Dataset!$F:$F,'credito latam'!$D$11,Dataset!$AN:$AN,"B-",Dataset!$J:$J,"&lt;"&amp;$D55,Dataset!$J:$J,"&gt;="&amp;$C55)+SUMIFS(Dataset!$AK:$AK,Dataset!$F:$F,'credito latam'!$D$11,Dataset!$AN:$AN,"B",Dataset!$J:$J,"&lt;"&amp;$D55,Dataset!$J:$J,"&gt;="&amp;$C55)+SUMIFS(Dataset!$AK:$AK,Dataset!$F:$F,'credito latam'!$D$11,Dataset!$AN:$AN,"B+",Dataset!$J:$J,"&lt;"&amp;$D55,Dataset!$J:$J,"&gt;="&amp;$C55)</f>
        <v>0</v>
      </c>
      <c r="Y55" s="102">
        <f>SUMIFS(Dataset!$AK:$AK,Dataset!$F:$F,'credito latam'!$D$11,Dataset!$AN:$AN,Y$44,Dataset!$J:$J,"&lt;"&amp;$D55,Dataset!$J:$J,"&gt;="&amp;$C55)</f>
        <v>0</v>
      </c>
      <c r="Z55" s="84">
        <f t="shared" si="2"/>
        <v>0</v>
      </c>
      <c r="AA55" s="115">
        <f>(SUMIFS(Dataset!$H:$H,Dataset!$F:$F,'credito latam'!$D$11,Dataset!$Z:$Z,AA$44,Dataset!$J:$J,"&lt;"&amp;$D55,Dataset!$J:$J,"&gt;="&amp;$C55))*10</f>
        <v>0</v>
      </c>
      <c r="AB55" s="117">
        <f>(SUMIFS(Dataset!$H:$H,Dataset!$F:$F,'credito latam'!$D$11,Dataset!$Z:$Z,AB$44,Dataset!$J:$J,"&lt;"&amp;$D55,Dataset!$J:$J,"&gt;="&amp;$C55))*10</f>
        <v>0</v>
      </c>
      <c r="AC55" s="117">
        <f>(SUMIFS(Dataset!$H:$H,Dataset!$F:$F,'credito latam'!$D$11,Dataset!$Z:$Z,AC$44,Dataset!$J:$J,"&lt;"&amp;$D55,Dataset!$J:$J,"&gt;="&amp;$C55))*10</f>
        <v>0</v>
      </c>
      <c r="AD55" s="117">
        <f>(SUMIFS(Dataset!$H:$H,Dataset!$F:$F,'credito latam'!$D$11,Dataset!$Z:$Z,AD$44,Dataset!$J:$J,"&lt;"&amp;$D55,Dataset!$J:$J,"&gt;="&amp;$C55))*10</f>
        <v>0</v>
      </c>
      <c r="AE55" s="117">
        <f>(SUMIFS(Dataset!$H:$H,Dataset!$F:$F,'credito latam'!$D$11,Dataset!$Z:$Z,AE$44,Dataset!$J:$J,"&lt;"&amp;$D55,Dataset!$J:$J,"&gt;="&amp;$C55))*10</f>
        <v>0</v>
      </c>
      <c r="AF55" s="117">
        <f>(SUMIFS(Dataset!$H:$H,Dataset!$F:$F,'credito latam'!$D$11,Dataset!$Z:$Z,AF$44,Dataset!$J:$J,"&lt;"&amp;$D55,Dataset!$J:$J,"&gt;="&amp;$C55))*10</f>
        <v>0</v>
      </c>
      <c r="AG55" s="118">
        <f>SUMIFS(Dataset!$H:$H,Dataset!$F:$F,'credito latam'!$D$11,Dataset!$J:$J,"&lt;"&amp;$D55,Dataset!J:J,"&gt;="&amp;$C55,Dataset!$Z:$Z,"&lt;&gt;CL",Dataset!$Z:$Z,"&lt;&gt;MX",Dataset!$Z:$Z,"&lt;&gt;CO",Dataset!$Z:$Z,"&lt;&gt;PE",Dataset!$Z:$Z,"&lt;&gt;BR",Dataset!$Z:$Z,"&lt;&gt;CI",Dataset!$Z:$Z,"&lt;&gt;PA")*10</f>
        <v>0</v>
      </c>
      <c r="AH55" s="87">
        <f t="shared" si="3"/>
        <v>0</v>
      </c>
    </row>
    <row r="56" spans="3:34" ht="33" customHeight="1" x14ac:dyDescent="0.3">
      <c r="C56" s="61">
        <v>10.5</v>
      </c>
      <c r="D56" s="81">
        <v>11.5</v>
      </c>
      <c r="E56" s="113">
        <f>SUMIFS(Dataset!$AK:$AK,Dataset!$F:$F,'credito latam'!$D$11,Dataset!$Z:$Z,E$44,Dataset!$J:$J,"&lt;"&amp;$D56,Dataset!$J:$J,"&gt;="&amp;$C56)</f>
        <v>0</v>
      </c>
      <c r="F56" s="83">
        <f>SUMIFS(Dataset!$AK:$AK,Dataset!$F:$F,'credito latam'!$D$11,Dataset!$Z:$Z,F$44,Dataset!$J:$J,"&lt;"&amp;$D56,Dataset!$J:$J,"&gt;="&amp;$C56)</f>
        <v>0</v>
      </c>
      <c r="G56" s="83">
        <f>SUMIFS(Dataset!$AK:$AK,Dataset!$F:$F,'credito latam'!$D$11,Dataset!$Z:$Z,G$44,Dataset!$J:$J,"&lt;"&amp;$D56,Dataset!$J:$J,"&gt;="&amp;$C56)</f>
        <v>0</v>
      </c>
      <c r="H56" s="83">
        <f>SUMIFS(Dataset!$AK:$AK,Dataset!$F:$F,'credito latam'!$D$11,Dataset!$Z:$Z,H$44,Dataset!$J:$J,"&lt;"&amp;$D56,Dataset!$J:$J,"&gt;="&amp;$C56)</f>
        <v>0</v>
      </c>
      <c r="I56" s="83">
        <f>SUMIFS(Dataset!$AK:$AK,Dataset!$F:$F,'credito latam'!$D$11,Dataset!$Z:$Z,I$44,Dataset!$J:$J,"&lt;"&amp;$D56,Dataset!$J:$J,"&gt;="&amp;$C56)</f>
        <v>0</v>
      </c>
      <c r="J56" s="83">
        <f>SUMIFS(Dataset!$AK:$AK,Dataset!$F:$F,'credito latam'!$D$11,Dataset!$Z:$Z,J$44,Dataset!$J:$J,"&lt;"&amp;$D56,Dataset!$J:$J,"&gt;="&amp;$C56)</f>
        <v>0</v>
      </c>
      <c r="K56" s="114">
        <f>SUMIFS(Dataset!$AK:$AK,Dataset!$F:$F,'credito latam'!$D$11,Dataset!$J:$J,"&lt;"&amp;$D56,Dataset!J:J,"&gt;="&amp;$C56,Dataset!$Z:$Z,"&lt;&gt;CL",Dataset!$Z:$Z,"&lt;&gt;MX",Dataset!$Z:$Z,"&lt;&gt;CO",Dataset!$Z:$Z,"&lt;&gt;PE",Dataset!$Z:$Z,"&lt;&gt;BR",Dataset!$Z:$Z,"&lt;&gt;PA")</f>
        <v>0</v>
      </c>
      <c r="L56" s="84">
        <f t="shared" si="1"/>
        <v>0</v>
      </c>
      <c r="M56" s="113">
        <f>SUMIFS(Dataset!$AK:$AK,Dataset!$F:$F,'credito latam'!$D$11,Dataset!$AN:$AN,"*AAA*",Dataset!$J:$J,"&lt;"&amp;$D56,Dataset!$J:$J,"&gt;="&amp;$C56)</f>
        <v>0</v>
      </c>
      <c r="N56" s="83">
        <f>SUMIFS(Dataset!$AK:$AK,Dataset!$F:$F,'credito latam'!$D$11,Dataset!$AN:$AN,"AA+",Dataset!$J:$J,"&lt;"&amp;$D56,Dataset!$J:$J,"&gt;="&amp;$C56)+SUMIFS(Dataset!$AK:$AK,Dataset!$F:$F,'credito latam'!$D$11,Dataset!$AN:$AN,"AA",Dataset!$J:$J,"&lt;"&amp;$D56,Dataset!$J:$J,"&gt;="&amp;$C56)+SUMIFS(Dataset!$AK:$AK,Dataset!$F:$F,'credito latam'!$D$11,Dataset!$AN:$AN,"AA-",Dataset!$J:$J,"&lt;"&amp;$D56,Dataset!$J:$J,"&gt;="&amp;$C56)</f>
        <v>0</v>
      </c>
      <c r="O56" s="83">
        <f>SUMIFS(Dataset!$AK:$AK,Dataset!$F:$F,'credito latam'!$D$11,Dataset!$AN:$AN,O$44,Dataset!$J:$J,"&lt;"&amp;$D56,Dataset!$J:$J,"&gt;="&amp;$C56)</f>
        <v>0</v>
      </c>
      <c r="P56" s="83">
        <f>SUMIFS(Dataset!$AK:$AK,Dataset!$F:$F,'credito latam'!$D$11,Dataset!$AN:$AN,P$44,Dataset!$J:$J,"&lt;"&amp;$D56,Dataset!$J:$J,"&gt;="&amp;$C56)</f>
        <v>0</v>
      </c>
      <c r="Q56" s="83">
        <f>SUMIFS(Dataset!$AK:$AK,Dataset!$F:$F,'credito latam'!$D$11,Dataset!$AN:$AN,Q$44,Dataset!$J:$J,"&lt;"&amp;$D56,Dataset!$J:$J,"&gt;="&amp;$C56)</f>
        <v>0</v>
      </c>
      <c r="R56" s="83">
        <f>SUMIFS(Dataset!$AK:$AK,Dataset!$F:$F,'credito latam'!$D$11,Dataset!$AN:$AN,R$44,Dataset!$J:$J,"&lt;"&amp;$D56,Dataset!$J:$J,"&gt;="&amp;$C56)</f>
        <v>0</v>
      </c>
      <c r="S56" s="83">
        <f>SUMIFS(Dataset!$AK:$AK,Dataset!$F:$F,'credito latam'!$D$11,Dataset!$AN:$AN,S$44,Dataset!$J:$J,"&lt;"&amp;$D56,Dataset!$J:$J,"&gt;="&amp;$C56)</f>
        <v>0</v>
      </c>
      <c r="T56" s="83">
        <f>SUMIFS(Dataset!$AK:$AK,Dataset!$F:$F,'credito latam'!$D$11,Dataset!$AN:$AN,T$44,Dataset!$J:$J,"&lt;"&amp;$D56,Dataset!$J:$J,"&gt;="&amp;$C56)</f>
        <v>0</v>
      </c>
      <c r="U56" s="83">
        <f>SUMIFS(Dataset!$AK:$AK,Dataset!$F:$F,'credito latam'!$D$11,Dataset!$AN:$AN,U$44,Dataset!$J:$J,"&lt;"&amp;$D56,Dataset!$J:$J,"&gt;="&amp;$C56)</f>
        <v>0</v>
      </c>
      <c r="V56" s="83">
        <f>SUMIFS(Dataset!$AK:$AK,Dataset!$F:$F,'credito latam'!$D$11,Dataset!$AN:$AN,V$44,Dataset!$J:$J,"&lt;"&amp;$D56,Dataset!$J:$J,"&gt;="&amp;$C56)</f>
        <v>0</v>
      </c>
      <c r="W56" s="83">
        <f>SUMIFS(Dataset!$AK:$AK,Dataset!$F:$F,'credito latam'!$D$11,Dataset!$AN:$AN,W$44,Dataset!$J:$J,"&lt;"&amp;$D56,Dataset!$J:$J,"&gt;="&amp;$C56)</f>
        <v>0</v>
      </c>
      <c r="X56" s="83">
        <f>SUMIFS(Dataset!$AK:$AK,Dataset!$F:$F,'credito latam'!$D$11,Dataset!$AN:$AN,"B-",Dataset!$J:$J,"&lt;"&amp;$D56,Dataset!$J:$J,"&gt;="&amp;$C56)+SUMIFS(Dataset!$AK:$AK,Dataset!$F:$F,'credito latam'!$D$11,Dataset!$AN:$AN,"B",Dataset!$J:$J,"&lt;"&amp;$D56,Dataset!$J:$J,"&gt;="&amp;$C56)+SUMIFS(Dataset!$AK:$AK,Dataset!$F:$F,'credito latam'!$D$11,Dataset!$AN:$AN,"B+",Dataset!$J:$J,"&lt;"&amp;$D56,Dataset!$J:$J,"&gt;="&amp;$C56)</f>
        <v>0</v>
      </c>
      <c r="Y56" s="114">
        <f>SUMIFS(Dataset!$AK:$AK,Dataset!$F:$F,'credito latam'!$D$11,Dataset!$AN:$AN,Y$44,Dataset!$J:$J,"&lt;"&amp;$D56,Dataset!$J:$J,"&gt;="&amp;$C56)</f>
        <v>0</v>
      </c>
      <c r="Z56" s="84">
        <f t="shared" si="2"/>
        <v>0</v>
      </c>
      <c r="AA56" s="115">
        <f>(SUMIFS(Dataset!$H:$H,Dataset!$F:$F,'credito latam'!$D$11,Dataset!$Z:$Z,AA$44,Dataset!$J:$J,"&lt;"&amp;$D56,Dataset!$J:$J,"&gt;="&amp;$C56))*10</f>
        <v>0</v>
      </c>
      <c r="AB56" s="86">
        <f>(SUMIFS(Dataset!$H:$H,Dataset!$F:$F,'credito latam'!$D$11,Dataset!$Z:$Z,AB$44,Dataset!$J:$J,"&lt;"&amp;$D56,Dataset!$J:$J,"&gt;="&amp;$C56))*10</f>
        <v>0</v>
      </c>
      <c r="AC56" s="86">
        <f>(SUMIFS(Dataset!$H:$H,Dataset!$F:$F,'credito latam'!$D$11,Dataset!$Z:$Z,AC$44,Dataset!$J:$J,"&lt;"&amp;$D56,Dataset!$J:$J,"&gt;="&amp;$C56))*10</f>
        <v>0</v>
      </c>
      <c r="AD56" s="86">
        <f>(SUMIFS(Dataset!$H:$H,Dataset!$F:$F,'credito latam'!$D$11,Dataset!$Z:$Z,AD$44,Dataset!$J:$J,"&lt;"&amp;$D56,Dataset!$J:$J,"&gt;="&amp;$C56))*10</f>
        <v>0</v>
      </c>
      <c r="AE56" s="86">
        <f>(SUMIFS(Dataset!$H:$H,Dataset!$F:$F,'credito latam'!$D$11,Dataset!$Z:$Z,AE$44,Dataset!$J:$J,"&lt;"&amp;$D56,Dataset!$J:$J,"&gt;="&amp;$C56))*10</f>
        <v>0</v>
      </c>
      <c r="AF56" s="86">
        <f>(SUMIFS(Dataset!$H:$H,Dataset!$F:$F,'credito latam'!$D$11,Dataset!$Z:$Z,AF$44,Dataset!$J:$J,"&lt;"&amp;$D56,Dataset!$J:$J,"&gt;="&amp;$C56))*10</f>
        <v>0</v>
      </c>
      <c r="AG56" s="116">
        <f>SUMIFS(Dataset!$H:$H,Dataset!$F:$F,'credito latam'!$D$11,Dataset!$J:$J,"&lt;"&amp;$D56,Dataset!J:J,"&gt;="&amp;$C56,Dataset!$Z:$Z,"&lt;&gt;CL",Dataset!$Z:$Z,"&lt;&gt;MX",Dataset!$Z:$Z,"&lt;&gt;CO",Dataset!$Z:$Z,"&lt;&gt;PE",Dataset!$Z:$Z,"&lt;&gt;BR",Dataset!$Z:$Z,"&lt;&gt;CI",Dataset!$Z:$Z,"&lt;&gt;PA")*10</f>
        <v>0</v>
      </c>
      <c r="AH56" s="87">
        <f t="shared" si="3"/>
        <v>0</v>
      </c>
    </row>
    <row r="57" spans="3:34" ht="33" customHeight="1" x14ac:dyDescent="0.3">
      <c r="C57" s="61">
        <v>11.5</v>
      </c>
      <c r="D57" s="81">
        <v>12.5</v>
      </c>
      <c r="E57" s="113">
        <f>SUMIFS(Dataset!$AK:$AK,Dataset!$F:$F,'credito latam'!$D$11,Dataset!$Z:$Z,E$44,Dataset!$J:$J,"&lt;"&amp;$D57,Dataset!$J:$J,"&gt;="&amp;$C57)</f>
        <v>0</v>
      </c>
      <c r="F57" s="101">
        <f>SUMIFS(Dataset!$AK:$AK,Dataset!$F:$F,'credito latam'!$D$11,Dataset!$Z:$Z,F$44,Dataset!$J:$J,"&lt;"&amp;$D57,Dataset!$J:$J,"&gt;="&amp;$C57)</f>
        <v>0</v>
      </c>
      <c r="G57" s="101">
        <f>SUMIFS(Dataset!$AK:$AK,Dataset!$F:$F,'credito latam'!$D$11,Dataset!$Z:$Z,G$44,Dataset!$J:$J,"&lt;"&amp;$D57,Dataset!$J:$J,"&gt;="&amp;$C57)</f>
        <v>0</v>
      </c>
      <c r="H57" s="101">
        <f>SUMIFS(Dataset!$AK:$AK,Dataset!$F:$F,'credito latam'!$D$11,Dataset!$Z:$Z,H$44,Dataset!$J:$J,"&lt;"&amp;$D57,Dataset!$J:$J,"&gt;="&amp;$C57)</f>
        <v>0</v>
      </c>
      <c r="I57" s="101">
        <f>SUMIFS(Dataset!$AK:$AK,Dataset!$F:$F,'credito latam'!$D$11,Dataset!$Z:$Z,I$44,Dataset!$J:$J,"&lt;"&amp;$D57,Dataset!$J:$J,"&gt;="&amp;$C57)</f>
        <v>0</v>
      </c>
      <c r="J57" s="101">
        <f>SUMIFS(Dataset!$AK:$AK,Dataset!$F:$F,'credito latam'!$D$11,Dataset!$Z:$Z,J$44,Dataset!$J:$J,"&lt;"&amp;$D57,Dataset!$J:$J,"&gt;="&amp;$C57)</f>
        <v>0</v>
      </c>
      <c r="K57" s="102">
        <f>SUMIFS(Dataset!$AK:$AK,Dataset!$F:$F,'credito latam'!$D$11,Dataset!$J:$J,"&lt;"&amp;$D57,Dataset!J:J,"&gt;="&amp;$C57,Dataset!$Z:$Z,"&lt;&gt;CL",Dataset!$Z:$Z,"&lt;&gt;MX",Dataset!$Z:$Z,"&lt;&gt;CO",Dataset!$Z:$Z,"&lt;&gt;PE",Dataset!$Z:$Z,"&lt;&gt;BR",Dataset!$Z:$Z,"&lt;&gt;PA")</f>
        <v>0</v>
      </c>
      <c r="L57" s="84">
        <f t="shared" si="1"/>
        <v>0</v>
      </c>
      <c r="M57" s="113">
        <f>SUMIFS(Dataset!$AK:$AK,Dataset!$F:$F,'credito latam'!$D$11,Dataset!$AN:$AN,"*AAA*",Dataset!$J:$J,"&lt;"&amp;$D57,Dataset!$J:$J,"&gt;="&amp;$C57)</f>
        <v>0</v>
      </c>
      <c r="N57" s="101">
        <f>SUMIFS(Dataset!$AK:$AK,Dataset!$F:$F,'credito latam'!$D$11,Dataset!$AN:$AN,"AA+",Dataset!$J:$J,"&lt;"&amp;$D57,Dataset!$J:$J,"&gt;="&amp;$C57)+SUMIFS(Dataset!$AK:$AK,Dataset!$F:$F,'credito latam'!$D$11,Dataset!$AN:$AN,"AA",Dataset!$J:$J,"&lt;"&amp;$D57,Dataset!$J:$J,"&gt;="&amp;$C57)+SUMIFS(Dataset!$AK:$AK,Dataset!$F:$F,'credito latam'!$D$11,Dataset!$AN:$AN,"AA-",Dataset!$J:$J,"&lt;"&amp;$D57,Dataset!$J:$J,"&gt;="&amp;$C57)</f>
        <v>0</v>
      </c>
      <c r="O57" s="101">
        <f>SUMIFS(Dataset!$AK:$AK,Dataset!$F:$F,'credito latam'!$D$11,Dataset!$AN:$AN,O$44,Dataset!$J:$J,"&lt;"&amp;$D57,Dataset!$J:$J,"&gt;="&amp;$C57)</f>
        <v>0</v>
      </c>
      <c r="P57" s="101">
        <f>SUMIFS(Dataset!$AK:$AK,Dataset!$F:$F,'credito latam'!$D$11,Dataset!$AN:$AN,P$44,Dataset!$J:$J,"&lt;"&amp;$D57,Dataset!$J:$J,"&gt;="&amp;$C57)</f>
        <v>0</v>
      </c>
      <c r="Q57" s="101">
        <f>SUMIFS(Dataset!$AK:$AK,Dataset!$F:$F,'credito latam'!$D$11,Dataset!$AN:$AN,Q$44,Dataset!$J:$J,"&lt;"&amp;$D57,Dataset!$J:$J,"&gt;="&amp;$C57)</f>
        <v>0</v>
      </c>
      <c r="R57" s="101">
        <f>SUMIFS(Dataset!$AK:$AK,Dataset!$F:$F,'credito latam'!$D$11,Dataset!$AN:$AN,R$44,Dataset!$J:$J,"&lt;"&amp;$D57,Dataset!$J:$J,"&gt;="&amp;$C57)</f>
        <v>0</v>
      </c>
      <c r="S57" s="101">
        <f>SUMIFS(Dataset!$AK:$AK,Dataset!$F:$F,'credito latam'!$D$11,Dataset!$AN:$AN,S$44,Dataset!$J:$J,"&lt;"&amp;$D57,Dataset!$J:$J,"&gt;="&amp;$C57)</f>
        <v>0</v>
      </c>
      <c r="T57" s="101">
        <f>SUMIFS(Dataset!$AK:$AK,Dataset!$F:$F,'credito latam'!$D$11,Dataset!$AN:$AN,T$44,Dataset!$J:$J,"&lt;"&amp;$D57,Dataset!$J:$J,"&gt;="&amp;$C57)</f>
        <v>0</v>
      </c>
      <c r="U57" s="101">
        <f>SUMIFS(Dataset!$AK:$AK,Dataset!$F:$F,'credito latam'!$D$11,Dataset!$AN:$AN,U$44,Dataset!$J:$J,"&lt;"&amp;$D57,Dataset!$J:$J,"&gt;="&amp;$C57)</f>
        <v>0</v>
      </c>
      <c r="V57" s="101">
        <f>SUMIFS(Dataset!$AK:$AK,Dataset!$F:$F,'credito latam'!$D$11,Dataset!$AN:$AN,V$44,Dataset!$J:$J,"&lt;"&amp;$D57,Dataset!$J:$J,"&gt;="&amp;$C57)</f>
        <v>0</v>
      </c>
      <c r="W57" s="101">
        <f>SUMIFS(Dataset!$AK:$AK,Dataset!$F:$F,'credito latam'!$D$11,Dataset!$AN:$AN,W$44,Dataset!$J:$J,"&lt;"&amp;$D57,Dataset!$J:$J,"&gt;="&amp;$C57)</f>
        <v>0</v>
      </c>
      <c r="X57" s="101">
        <f>SUMIFS(Dataset!$AK:$AK,Dataset!$F:$F,'credito latam'!$D$11,Dataset!$AN:$AN,"B-",Dataset!$J:$J,"&lt;"&amp;$D57,Dataset!$J:$J,"&gt;="&amp;$C57)+SUMIFS(Dataset!$AK:$AK,Dataset!$F:$F,'credito latam'!$D$11,Dataset!$AN:$AN,"B",Dataset!$J:$J,"&lt;"&amp;$D57,Dataset!$J:$J,"&gt;="&amp;$C57)+SUMIFS(Dataset!$AK:$AK,Dataset!$F:$F,'credito latam'!$D$11,Dataset!$AN:$AN,"B+",Dataset!$J:$J,"&lt;"&amp;$D57,Dataset!$J:$J,"&gt;="&amp;$C57)</f>
        <v>0</v>
      </c>
      <c r="Y57" s="102">
        <f>SUMIFS(Dataset!$AK:$AK,Dataset!$F:$F,'credito latam'!$D$11,Dataset!$AN:$AN,Y$44,Dataset!$J:$J,"&lt;"&amp;$D57,Dataset!$J:$J,"&gt;="&amp;$C57)</f>
        <v>0</v>
      </c>
      <c r="Z57" s="84">
        <f t="shared" si="2"/>
        <v>0</v>
      </c>
      <c r="AA57" s="115">
        <f>(SUMIFS(Dataset!$H:$H,Dataset!$F:$F,'credito latam'!$D$11,Dataset!$Z:$Z,AA$44,Dataset!$J:$J,"&lt;"&amp;$D57,Dataset!$J:$J,"&gt;="&amp;$C57))*10</f>
        <v>0</v>
      </c>
      <c r="AB57" s="117">
        <f>(SUMIFS(Dataset!$H:$H,Dataset!$F:$F,'credito latam'!$D$11,Dataset!$Z:$Z,AB$44,Dataset!$J:$J,"&lt;"&amp;$D57,Dataset!$J:$J,"&gt;="&amp;$C57))*10</f>
        <v>0</v>
      </c>
      <c r="AC57" s="117">
        <f>(SUMIFS(Dataset!$H:$H,Dataset!$F:$F,'credito latam'!$D$11,Dataset!$Z:$Z,AC$44,Dataset!$J:$J,"&lt;"&amp;$D57,Dataset!$J:$J,"&gt;="&amp;$C57))*10</f>
        <v>0</v>
      </c>
      <c r="AD57" s="117">
        <f>(SUMIFS(Dataset!$H:$H,Dataset!$F:$F,'credito latam'!$D$11,Dataset!$Z:$Z,AD$44,Dataset!$J:$J,"&lt;"&amp;$D57,Dataset!$J:$J,"&gt;="&amp;$C57))*10</f>
        <v>0</v>
      </c>
      <c r="AE57" s="117">
        <f>(SUMIFS(Dataset!$H:$H,Dataset!$F:$F,'credito latam'!$D$11,Dataset!$Z:$Z,AE$44,Dataset!$J:$J,"&lt;"&amp;$D57,Dataset!$J:$J,"&gt;="&amp;$C57))*10</f>
        <v>0</v>
      </c>
      <c r="AF57" s="117">
        <f>(SUMIFS(Dataset!$H:$H,Dataset!$F:$F,'credito latam'!$D$11,Dataset!$Z:$Z,AF$44,Dataset!$J:$J,"&lt;"&amp;$D57,Dataset!$J:$J,"&gt;="&amp;$C57))*10</f>
        <v>0</v>
      </c>
      <c r="AG57" s="118">
        <f>SUMIFS(Dataset!$H:$H,Dataset!$F:$F,'credito latam'!$D$11,Dataset!$J:$J,"&lt;"&amp;$D57,Dataset!J:J,"&gt;="&amp;$C57,Dataset!$Z:$Z,"&lt;&gt;CL",Dataset!$Z:$Z,"&lt;&gt;MX",Dataset!$Z:$Z,"&lt;&gt;CO",Dataset!$Z:$Z,"&lt;&gt;PE",Dataset!$Z:$Z,"&lt;&gt;BR",Dataset!$Z:$Z,"&lt;&gt;CI",Dataset!$Z:$Z,"&lt;&gt;PA")*10</f>
        <v>0</v>
      </c>
      <c r="AH57" s="87">
        <f t="shared" si="3"/>
        <v>0</v>
      </c>
    </row>
    <row r="58" spans="3:34" ht="33" customHeight="1" x14ac:dyDescent="0.3">
      <c r="C58" s="61">
        <v>12.5</v>
      </c>
      <c r="D58" s="81">
        <v>13.5</v>
      </c>
      <c r="E58" s="113">
        <f>SUMIFS(Dataset!$AK:$AK,Dataset!$F:$F,'credito latam'!$D$11,Dataset!$Z:$Z,E$44,Dataset!$J:$J,"&lt;"&amp;$D58,Dataset!$J:$J,"&gt;="&amp;$C58)</f>
        <v>0</v>
      </c>
      <c r="F58" s="83">
        <f>SUMIFS(Dataset!$AK:$AK,Dataset!$F:$F,'credito latam'!$D$11,Dataset!$Z:$Z,F$44,Dataset!$J:$J,"&lt;"&amp;$D58,Dataset!$J:$J,"&gt;="&amp;$C58)</f>
        <v>0</v>
      </c>
      <c r="G58" s="83">
        <f>SUMIFS(Dataset!$AK:$AK,Dataset!$F:$F,'credito latam'!$D$11,Dataset!$Z:$Z,G$44,Dataset!$J:$J,"&lt;"&amp;$D58,Dataset!$J:$J,"&gt;="&amp;$C58)</f>
        <v>0</v>
      </c>
      <c r="H58" s="83">
        <f>SUMIFS(Dataset!$AK:$AK,Dataset!$F:$F,'credito latam'!$D$11,Dataset!$Z:$Z,H$44,Dataset!$J:$J,"&lt;"&amp;$D58,Dataset!$J:$J,"&gt;="&amp;$C58)</f>
        <v>0</v>
      </c>
      <c r="I58" s="83">
        <f>SUMIFS(Dataset!$AK:$AK,Dataset!$F:$F,'credito latam'!$D$11,Dataset!$Z:$Z,I$44,Dataset!$J:$J,"&lt;"&amp;$D58,Dataset!$J:$J,"&gt;="&amp;$C58)</f>
        <v>0</v>
      </c>
      <c r="J58" s="83">
        <f>SUMIFS(Dataset!$AK:$AK,Dataset!$F:$F,'credito latam'!$D$11,Dataset!$Z:$Z,J$44,Dataset!$J:$J,"&lt;"&amp;$D58,Dataset!$J:$J,"&gt;="&amp;$C58)</f>
        <v>0</v>
      </c>
      <c r="K58" s="114">
        <f>SUMIFS(Dataset!$AK:$AK,Dataset!$F:$F,'credito latam'!$D$11,Dataset!$J:$J,"&lt;"&amp;$D58,Dataset!J:J,"&gt;="&amp;$C58,Dataset!$Z:$Z,"&lt;&gt;CL",Dataset!$Z:$Z,"&lt;&gt;MX",Dataset!$Z:$Z,"&lt;&gt;CO",Dataset!$Z:$Z,"&lt;&gt;PE",Dataset!$Z:$Z,"&lt;&gt;BR",Dataset!$Z:$Z,"&lt;&gt;PA")</f>
        <v>0</v>
      </c>
      <c r="L58" s="84">
        <f t="shared" si="1"/>
        <v>0</v>
      </c>
      <c r="M58" s="113">
        <f>SUMIFS(Dataset!$AK:$AK,Dataset!$F:$F,'credito latam'!$D$11,Dataset!$AN:$AN,"*AAA*",Dataset!$J:$J,"&lt;"&amp;$D58,Dataset!$J:$J,"&gt;="&amp;$C58)</f>
        <v>0</v>
      </c>
      <c r="N58" s="83">
        <f>SUMIFS(Dataset!$AK:$AK,Dataset!$F:$F,'credito latam'!$D$11,Dataset!$AN:$AN,"AA+",Dataset!$J:$J,"&lt;"&amp;$D58,Dataset!$J:$J,"&gt;="&amp;$C58)+SUMIFS(Dataset!$AK:$AK,Dataset!$F:$F,'credito latam'!$D$11,Dataset!$AN:$AN,"AA",Dataset!$J:$J,"&lt;"&amp;$D58,Dataset!$J:$J,"&gt;="&amp;$C58)+SUMIFS(Dataset!$AK:$AK,Dataset!$F:$F,'credito latam'!$D$11,Dataset!$AN:$AN,"AA-",Dataset!$J:$J,"&lt;"&amp;$D58,Dataset!$J:$J,"&gt;="&amp;$C58)</f>
        <v>0</v>
      </c>
      <c r="O58" s="83">
        <f>SUMIFS(Dataset!$AK:$AK,Dataset!$F:$F,'credito latam'!$D$11,Dataset!$AN:$AN,O$44,Dataset!$J:$J,"&lt;"&amp;$D58,Dataset!$J:$J,"&gt;="&amp;$C58)</f>
        <v>0</v>
      </c>
      <c r="P58" s="83">
        <f>SUMIFS(Dataset!$AK:$AK,Dataset!$F:$F,'credito latam'!$D$11,Dataset!$AN:$AN,P$44,Dataset!$J:$J,"&lt;"&amp;$D58,Dataset!$J:$J,"&gt;="&amp;$C58)</f>
        <v>0</v>
      </c>
      <c r="Q58" s="83">
        <f>SUMIFS(Dataset!$AK:$AK,Dataset!$F:$F,'credito latam'!$D$11,Dataset!$AN:$AN,Q$44,Dataset!$J:$J,"&lt;"&amp;$D58,Dataset!$J:$J,"&gt;="&amp;$C58)</f>
        <v>0</v>
      </c>
      <c r="R58" s="83">
        <f>SUMIFS(Dataset!$AK:$AK,Dataset!$F:$F,'credito latam'!$D$11,Dataset!$AN:$AN,R$44,Dataset!$J:$J,"&lt;"&amp;$D58,Dataset!$J:$J,"&gt;="&amp;$C58)</f>
        <v>0</v>
      </c>
      <c r="S58" s="83">
        <f>SUMIFS(Dataset!$AK:$AK,Dataset!$F:$F,'credito latam'!$D$11,Dataset!$AN:$AN,S$44,Dataset!$J:$J,"&lt;"&amp;$D58,Dataset!$J:$J,"&gt;="&amp;$C58)</f>
        <v>0</v>
      </c>
      <c r="T58" s="83">
        <f>SUMIFS(Dataset!$AK:$AK,Dataset!$F:$F,'credito latam'!$D$11,Dataset!$AN:$AN,T$44,Dataset!$J:$J,"&lt;"&amp;$D58,Dataset!$J:$J,"&gt;="&amp;$C58)</f>
        <v>0</v>
      </c>
      <c r="U58" s="83">
        <f>SUMIFS(Dataset!$AK:$AK,Dataset!$F:$F,'credito latam'!$D$11,Dataset!$AN:$AN,U$44,Dataset!$J:$J,"&lt;"&amp;$D58,Dataset!$J:$J,"&gt;="&amp;$C58)</f>
        <v>0</v>
      </c>
      <c r="V58" s="83">
        <f>SUMIFS(Dataset!$AK:$AK,Dataset!$F:$F,'credito latam'!$D$11,Dataset!$AN:$AN,V$44,Dataset!$J:$J,"&lt;"&amp;$D58,Dataset!$J:$J,"&gt;="&amp;$C58)</f>
        <v>0</v>
      </c>
      <c r="W58" s="83">
        <f>SUMIFS(Dataset!$AK:$AK,Dataset!$F:$F,'credito latam'!$D$11,Dataset!$AN:$AN,W$44,Dataset!$J:$J,"&lt;"&amp;$D58,Dataset!$J:$J,"&gt;="&amp;$C58)</f>
        <v>0</v>
      </c>
      <c r="X58" s="83">
        <f>SUMIFS(Dataset!$AK:$AK,Dataset!$F:$F,'credito latam'!$D$11,Dataset!$AN:$AN,"B-",Dataset!$J:$J,"&lt;"&amp;$D58,Dataset!$J:$J,"&gt;="&amp;$C58)+SUMIFS(Dataset!$AK:$AK,Dataset!$F:$F,'credito latam'!$D$11,Dataset!$AN:$AN,"B",Dataset!$J:$J,"&lt;"&amp;$D58,Dataset!$J:$J,"&gt;="&amp;$C58)+SUMIFS(Dataset!$AK:$AK,Dataset!$F:$F,'credito latam'!$D$11,Dataset!$AN:$AN,"B+",Dataset!$J:$J,"&lt;"&amp;$D58,Dataset!$J:$J,"&gt;="&amp;$C58)</f>
        <v>0</v>
      </c>
      <c r="Y58" s="114">
        <f>SUMIFS(Dataset!$AK:$AK,Dataset!$F:$F,'credito latam'!$D$11,Dataset!$AN:$AN,Y$44,Dataset!$J:$J,"&lt;"&amp;$D58,Dataset!$J:$J,"&gt;="&amp;$C58)</f>
        <v>0</v>
      </c>
      <c r="Z58" s="84">
        <f t="shared" si="2"/>
        <v>0</v>
      </c>
      <c r="AA58" s="115">
        <f>(SUMIFS(Dataset!$H:$H,Dataset!$F:$F,'credito latam'!$D$11,Dataset!$Z:$Z,AA$44,Dataset!$J:$J,"&lt;"&amp;$D58,Dataset!$J:$J,"&gt;="&amp;$C58))*10</f>
        <v>0</v>
      </c>
      <c r="AB58" s="86">
        <f>(SUMIFS(Dataset!$H:$H,Dataset!$F:$F,'credito latam'!$D$11,Dataset!$Z:$Z,AB$44,Dataset!$J:$J,"&lt;"&amp;$D58,Dataset!$J:$J,"&gt;="&amp;$C58))*10</f>
        <v>0</v>
      </c>
      <c r="AC58" s="86">
        <f>(SUMIFS(Dataset!$H:$H,Dataset!$F:$F,'credito latam'!$D$11,Dataset!$Z:$Z,AC$44,Dataset!$J:$J,"&lt;"&amp;$D58,Dataset!$J:$J,"&gt;="&amp;$C58))*10</f>
        <v>0</v>
      </c>
      <c r="AD58" s="86">
        <f>(SUMIFS(Dataset!$H:$H,Dataset!$F:$F,'credito latam'!$D$11,Dataset!$Z:$Z,AD$44,Dataset!$J:$J,"&lt;"&amp;$D58,Dataset!$J:$J,"&gt;="&amp;$C58))*10</f>
        <v>0</v>
      </c>
      <c r="AE58" s="86">
        <f>(SUMIFS(Dataset!$H:$H,Dataset!$F:$F,'credito latam'!$D$11,Dataset!$Z:$Z,AE$44,Dataset!$J:$J,"&lt;"&amp;$D58,Dataset!$J:$J,"&gt;="&amp;$C58))*10</f>
        <v>0</v>
      </c>
      <c r="AF58" s="86">
        <f>(SUMIFS(Dataset!$H:$H,Dataset!$F:$F,'credito latam'!$D$11,Dataset!$Z:$Z,AF$44,Dataset!$J:$J,"&lt;"&amp;$D58,Dataset!$J:$J,"&gt;="&amp;$C58))*10</f>
        <v>0</v>
      </c>
      <c r="AG58" s="116">
        <f>SUMIFS(Dataset!$H:$H,Dataset!$F:$F,'credito latam'!$D$11,Dataset!$J:$J,"&lt;"&amp;$D58,Dataset!J:J,"&gt;="&amp;$C58,Dataset!$Z:$Z,"&lt;&gt;CL",Dataset!$Z:$Z,"&lt;&gt;MX",Dataset!$Z:$Z,"&lt;&gt;CO",Dataset!$Z:$Z,"&lt;&gt;PE",Dataset!$Z:$Z,"&lt;&gt;BR",Dataset!$Z:$Z,"&lt;&gt;CI",Dataset!$Z:$Z,"&lt;&gt;PA")*10</f>
        <v>0</v>
      </c>
      <c r="AH58" s="87">
        <f t="shared" si="3"/>
        <v>0</v>
      </c>
    </row>
    <row r="59" spans="3:34" ht="33" customHeight="1" x14ac:dyDescent="0.3">
      <c r="C59" s="61">
        <v>13.5</v>
      </c>
      <c r="D59" s="81">
        <v>14.5</v>
      </c>
      <c r="E59" s="113">
        <f>SUMIFS(Dataset!$AK:$AK,Dataset!$F:$F,'credito latam'!$D$11,Dataset!$Z:$Z,E$44,Dataset!$J:$J,"&lt;"&amp;$D59,Dataset!$J:$J,"&gt;="&amp;$C59)</f>
        <v>0</v>
      </c>
      <c r="F59" s="101">
        <f>SUMIFS(Dataset!$AK:$AK,Dataset!$F:$F,'credito latam'!$D$11,Dataset!$Z:$Z,F$44,Dataset!$J:$J,"&lt;"&amp;$D59,Dataset!$J:$J,"&gt;="&amp;$C59)</f>
        <v>0</v>
      </c>
      <c r="G59" s="101">
        <f>SUMIFS(Dataset!$AK:$AK,Dataset!$F:$F,'credito latam'!$D$11,Dataset!$Z:$Z,G$44,Dataset!$J:$J,"&lt;"&amp;$D59,Dataset!$J:$J,"&gt;="&amp;$C59)</f>
        <v>0</v>
      </c>
      <c r="H59" s="101">
        <f>SUMIFS(Dataset!$AK:$AK,Dataset!$F:$F,'credito latam'!$D$11,Dataset!$Z:$Z,H$44,Dataset!$J:$J,"&lt;"&amp;$D59,Dataset!$J:$J,"&gt;="&amp;$C59)</f>
        <v>0</v>
      </c>
      <c r="I59" s="101">
        <f>SUMIFS(Dataset!$AK:$AK,Dataset!$F:$F,'credito latam'!$D$11,Dataset!$Z:$Z,I$44,Dataset!$J:$J,"&lt;"&amp;$D59,Dataset!$J:$J,"&gt;="&amp;$C59)</f>
        <v>0</v>
      </c>
      <c r="J59" s="101">
        <f>SUMIFS(Dataset!$AK:$AK,Dataset!$F:$F,'credito latam'!$D$11,Dataset!$Z:$Z,J$44,Dataset!$J:$J,"&lt;"&amp;$D59,Dataset!$J:$J,"&gt;="&amp;$C59)</f>
        <v>0</v>
      </c>
      <c r="K59" s="102">
        <f>SUMIFS(Dataset!$AK:$AK,Dataset!$F:$F,'credito latam'!$D$11,Dataset!$J:$J,"&lt;"&amp;$D59,Dataset!J:J,"&gt;="&amp;$C59,Dataset!$Z:$Z,"&lt;&gt;CL",Dataset!$Z:$Z,"&lt;&gt;MX",Dataset!$Z:$Z,"&lt;&gt;CO",Dataset!$Z:$Z,"&lt;&gt;PE",Dataset!$Z:$Z,"&lt;&gt;BR",Dataset!$Z:$Z,"&lt;&gt;PA")</f>
        <v>0</v>
      </c>
      <c r="L59" s="84">
        <f t="shared" si="1"/>
        <v>0</v>
      </c>
      <c r="M59" s="113">
        <f>SUMIFS(Dataset!$AK:$AK,Dataset!$F:$F,'credito latam'!$D$11,Dataset!$AN:$AN,"*AAA*",Dataset!$J:$J,"&lt;"&amp;$D59,Dataset!$J:$J,"&gt;="&amp;$C59)</f>
        <v>0</v>
      </c>
      <c r="N59" s="101">
        <f>SUMIFS(Dataset!$AK:$AK,Dataset!$F:$F,'credito latam'!$D$11,Dataset!$AN:$AN,"AA+",Dataset!$J:$J,"&lt;"&amp;$D59,Dataset!$J:$J,"&gt;="&amp;$C59)+SUMIFS(Dataset!$AK:$AK,Dataset!$F:$F,'credito latam'!$D$11,Dataset!$AN:$AN,"AA",Dataset!$J:$J,"&lt;"&amp;$D59,Dataset!$J:$J,"&gt;="&amp;$C59)+SUMIFS(Dataset!$AK:$AK,Dataset!$F:$F,'credito latam'!$D$11,Dataset!$AN:$AN,"AA-",Dataset!$J:$J,"&lt;"&amp;$D59,Dataset!$J:$J,"&gt;="&amp;$C59)</f>
        <v>0</v>
      </c>
      <c r="O59" s="101">
        <f>SUMIFS(Dataset!$AK:$AK,Dataset!$F:$F,'credito latam'!$D$11,Dataset!$AN:$AN,O$44,Dataset!$J:$J,"&lt;"&amp;$D59,Dataset!$J:$J,"&gt;="&amp;$C59)</f>
        <v>0</v>
      </c>
      <c r="P59" s="101">
        <f>SUMIFS(Dataset!$AK:$AK,Dataset!$F:$F,'credito latam'!$D$11,Dataset!$AN:$AN,P$44,Dataset!$J:$J,"&lt;"&amp;$D59,Dataset!$J:$J,"&gt;="&amp;$C59)</f>
        <v>0</v>
      </c>
      <c r="Q59" s="101">
        <f>SUMIFS(Dataset!$AK:$AK,Dataset!$F:$F,'credito latam'!$D$11,Dataset!$AN:$AN,Q$44,Dataset!$J:$J,"&lt;"&amp;$D59,Dataset!$J:$J,"&gt;="&amp;$C59)</f>
        <v>0</v>
      </c>
      <c r="R59" s="101">
        <f>SUMIFS(Dataset!$AK:$AK,Dataset!$F:$F,'credito latam'!$D$11,Dataset!$AN:$AN,R$44,Dataset!$J:$J,"&lt;"&amp;$D59,Dataset!$J:$J,"&gt;="&amp;$C59)</f>
        <v>0</v>
      </c>
      <c r="S59" s="101">
        <f>SUMIFS(Dataset!$AK:$AK,Dataset!$F:$F,'credito latam'!$D$11,Dataset!$AN:$AN,S$44,Dataset!$J:$J,"&lt;"&amp;$D59,Dataset!$J:$J,"&gt;="&amp;$C59)</f>
        <v>0</v>
      </c>
      <c r="T59" s="101">
        <f>SUMIFS(Dataset!$AK:$AK,Dataset!$F:$F,'credito latam'!$D$11,Dataset!$AN:$AN,T$44,Dataset!$J:$J,"&lt;"&amp;$D59,Dataset!$J:$J,"&gt;="&amp;$C59)</f>
        <v>0</v>
      </c>
      <c r="U59" s="101">
        <f>SUMIFS(Dataset!$AK:$AK,Dataset!$F:$F,'credito latam'!$D$11,Dataset!$AN:$AN,U$44,Dataset!$J:$J,"&lt;"&amp;$D59,Dataset!$J:$J,"&gt;="&amp;$C59)</f>
        <v>0</v>
      </c>
      <c r="V59" s="101">
        <f>SUMIFS(Dataset!$AK:$AK,Dataset!$F:$F,'credito latam'!$D$11,Dataset!$AN:$AN,V$44,Dataset!$J:$J,"&lt;"&amp;$D59,Dataset!$J:$J,"&gt;="&amp;$C59)</f>
        <v>0</v>
      </c>
      <c r="W59" s="101">
        <f>SUMIFS(Dataset!$AK:$AK,Dataset!$F:$F,'credito latam'!$D$11,Dataset!$AN:$AN,W$44,Dataset!$J:$J,"&lt;"&amp;$D59,Dataset!$J:$J,"&gt;="&amp;$C59)</f>
        <v>0</v>
      </c>
      <c r="X59" s="101">
        <f>SUMIFS(Dataset!$AK:$AK,Dataset!$F:$F,'credito latam'!$D$11,Dataset!$AN:$AN,"B-",Dataset!$J:$J,"&lt;"&amp;$D59,Dataset!$J:$J,"&gt;="&amp;$C59)+SUMIFS(Dataset!$AK:$AK,Dataset!$F:$F,'credito latam'!$D$11,Dataset!$AN:$AN,"B",Dataset!$J:$J,"&lt;"&amp;$D59,Dataset!$J:$J,"&gt;="&amp;$C59)+SUMIFS(Dataset!$AK:$AK,Dataset!$F:$F,'credito latam'!$D$11,Dataset!$AN:$AN,"B+",Dataset!$J:$J,"&lt;"&amp;$D59,Dataset!$J:$J,"&gt;="&amp;$C59)</f>
        <v>0</v>
      </c>
      <c r="Y59" s="102">
        <f>SUMIFS(Dataset!$AK:$AK,Dataset!$F:$F,'credito latam'!$D$11,Dataset!$AN:$AN,Y$44,Dataset!$J:$J,"&lt;"&amp;$D59,Dataset!$J:$J,"&gt;="&amp;$C59)</f>
        <v>0</v>
      </c>
      <c r="Z59" s="84">
        <f t="shared" si="2"/>
        <v>0</v>
      </c>
      <c r="AA59" s="115">
        <f>(SUMIFS(Dataset!$H:$H,Dataset!$F:$F,'credito latam'!$D$11,Dataset!$Z:$Z,AA$44,Dataset!$J:$J,"&lt;"&amp;$D59,Dataset!$J:$J,"&gt;="&amp;$C59))*10</f>
        <v>0</v>
      </c>
      <c r="AB59" s="117">
        <f>(SUMIFS(Dataset!$H:$H,Dataset!$F:$F,'credito latam'!$D$11,Dataset!$Z:$Z,AB$44,Dataset!$J:$J,"&lt;"&amp;$D59,Dataset!$J:$J,"&gt;="&amp;$C59))*10</f>
        <v>0</v>
      </c>
      <c r="AC59" s="117">
        <f>(SUMIFS(Dataset!$H:$H,Dataset!$F:$F,'credito latam'!$D$11,Dataset!$Z:$Z,AC$44,Dataset!$J:$J,"&lt;"&amp;$D59,Dataset!$J:$J,"&gt;="&amp;$C59))*10</f>
        <v>0</v>
      </c>
      <c r="AD59" s="117">
        <f>(SUMIFS(Dataset!$H:$H,Dataset!$F:$F,'credito latam'!$D$11,Dataset!$Z:$Z,AD$44,Dataset!$J:$J,"&lt;"&amp;$D59,Dataset!$J:$J,"&gt;="&amp;$C59))*10</f>
        <v>0</v>
      </c>
      <c r="AE59" s="117">
        <f>(SUMIFS(Dataset!$H:$H,Dataset!$F:$F,'credito latam'!$D$11,Dataset!$Z:$Z,AE$44,Dataset!$J:$J,"&lt;"&amp;$D59,Dataset!$J:$J,"&gt;="&amp;$C59))*10</f>
        <v>0</v>
      </c>
      <c r="AF59" s="117">
        <f>(SUMIFS(Dataset!$H:$H,Dataset!$F:$F,'credito latam'!$D$11,Dataset!$Z:$Z,AF$44,Dataset!$J:$J,"&lt;"&amp;$D59,Dataset!$J:$J,"&gt;="&amp;$C59))*10</f>
        <v>0</v>
      </c>
      <c r="AG59" s="118">
        <f>SUMIFS(Dataset!$H:$H,Dataset!$F:$F,'credito latam'!$D$11,Dataset!$J:$J,"&lt;"&amp;$D59,Dataset!J:J,"&gt;="&amp;$C59,Dataset!$Z:$Z,"&lt;&gt;CL",Dataset!$Z:$Z,"&lt;&gt;MX",Dataset!$Z:$Z,"&lt;&gt;CO",Dataset!$Z:$Z,"&lt;&gt;PE",Dataset!$Z:$Z,"&lt;&gt;BR",Dataset!$Z:$Z,"&lt;&gt;CI",Dataset!$Z:$Z,"&lt;&gt;PA")*10</f>
        <v>0</v>
      </c>
      <c r="AH59" s="87">
        <f t="shared" si="3"/>
        <v>0</v>
      </c>
    </row>
    <row r="60" spans="3:34" ht="33" customHeight="1" x14ac:dyDescent="0.3">
      <c r="C60" s="61">
        <v>14.5</v>
      </c>
      <c r="D60" s="81">
        <v>100</v>
      </c>
      <c r="E60" s="119">
        <f>SUMIFS(Dataset!$AK:$AK,Dataset!$F:$F,'credito latam'!$D$11,Dataset!$Z:$Z,E$44,Dataset!$J:$J,"&lt;"&amp;$D60,Dataset!$J:$J,"&gt;="&amp;$C60)</f>
        <v>0</v>
      </c>
      <c r="F60" s="89">
        <f>SUMIFS(Dataset!$AK:$AK,Dataset!$F:$F,'credito latam'!$D$11,Dataset!$Z:$Z,F$44,Dataset!$J:$J,"&lt;"&amp;$D60,Dataset!$J:$J,"&gt;="&amp;$C60)</f>
        <v>0</v>
      </c>
      <c r="G60" s="89">
        <f>SUMIFS(Dataset!$AK:$AK,Dataset!$F:$F,'credito latam'!$D$11,Dataset!$Z:$Z,G$44,Dataset!$J:$J,"&lt;"&amp;$D60,Dataset!$J:$J,"&gt;="&amp;$C60)</f>
        <v>0</v>
      </c>
      <c r="H60" s="89">
        <f>SUMIFS(Dataset!$AK:$AK,Dataset!$F:$F,'credito latam'!$D$11,Dataset!$Z:$Z,H$44,Dataset!$J:$J,"&lt;"&amp;$D60,Dataset!$J:$J,"&gt;="&amp;$C60)</f>
        <v>0</v>
      </c>
      <c r="I60" s="89">
        <f>SUMIFS(Dataset!$AK:$AK,Dataset!$F:$F,'credito latam'!$D$11,Dataset!$Z:$Z,I$44,Dataset!$J:$J,"&lt;"&amp;$D60,Dataset!$J:$J,"&gt;="&amp;$C60)</f>
        <v>0</v>
      </c>
      <c r="J60" s="89">
        <f>SUMIFS(Dataset!$AK:$AK,Dataset!$F:$F,'credito latam'!$D$11,Dataset!$Z:$Z,J$44,Dataset!$J:$J,"&lt;"&amp;$D60,Dataset!$J:$J,"&gt;="&amp;$C60)</f>
        <v>0</v>
      </c>
      <c r="K60" s="120">
        <f>SUMIFS(Dataset!$AK:$AK,Dataset!$F:$F,'credito latam'!$D$11,Dataset!$J:$J,"&lt;"&amp;$D60,Dataset!J:J,"&gt;="&amp;$C60,Dataset!$Z:$Z,"&lt;&gt;CL",Dataset!$Z:$Z,"&lt;&gt;MX",Dataset!$Z:$Z,"&lt;&gt;CO",Dataset!$Z:$Z,"&lt;&gt;PE",Dataset!$Z:$Z,"&lt;&gt;BR",Dataset!$Z:$Z,"&lt;&gt;PA")</f>
        <v>0</v>
      </c>
      <c r="L60" s="90">
        <f t="shared" si="1"/>
        <v>0</v>
      </c>
      <c r="M60" s="119">
        <f>SUMIFS(Dataset!$AK:$AK,Dataset!$F:$F,'credito latam'!$D$11,Dataset!$AN:$AN,"*AAA*",Dataset!$J:$J,"&lt;"&amp;$D60,Dataset!$J:$J,"&gt;="&amp;$C60)</f>
        <v>0</v>
      </c>
      <c r="N60" s="89">
        <f>SUMIFS(Dataset!$AK:$AK,Dataset!$F:$F,'credito latam'!$D$11,Dataset!$AN:$AN,"AA+",Dataset!$J:$J,"&lt;"&amp;$D60,Dataset!$J:$J,"&gt;="&amp;$C60)+SUMIFS(Dataset!$AK:$AK,Dataset!$F:$F,'credito latam'!$D$11,Dataset!$AN:$AN,"AA",Dataset!$J:$J,"&lt;"&amp;$D60,Dataset!$J:$J,"&gt;="&amp;$C60)+SUMIFS(Dataset!$AK:$AK,Dataset!$F:$F,'credito latam'!$D$11,Dataset!$AN:$AN,"AA-",Dataset!$J:$J,"&lt;"&amp;$D60,Dataset!$J:$J,"&gt;="&amp;$C60)</f>
        <v>0</v>
      </c>
      <c r="O60" s="89">
        <f>SUMIFS(Dataset!$AK:$AK,Dataset!$F:$F,'credito latam'!$D$11,Dataset!$AN:$AN,O$44,Dataset!$J:$J,"&lt;"&amp;$D60,Dataset!$J:$J,"&gt;="&amp;$C60)</f>
        <v>0</v>
      </c>
      <c r="P60" s="89">
        <f>SUMIFS(Dataset!$AK:$AK,Dataset!$F:$F,'credito latam'!$D$11,Dataset!$AN:$AN,P$44,Dataset!$J:$J,"&lt;"&amp;$D60,Dataset!$J:$J,"&gt;="&amp;$C60)</f>
        <v>0</v>
      </c>
      <c r="Q60" s="89">
        <f>SUMIFS(Dataset!$AK:$AK,Dataset!$F:$F,'credito latam'!$D$11,Dataset!$AN:$AN,Q$44,Dataset!$J:$J,"&lt;"&amp;$D60,Dataset!$J:$J,"&gt;="&amp;$C60)</f>
        <v>0</v>
      </c>
      <c r="R60" s="89">
        <f>SUMIFS(Dataset!$AK:$AK,Dataset!$F:$F,'credito latam'!$D$11,Dataset!$AN:$AN,R$44,Dataset!$J:$J,"&lt;"&amp;$D60,Dataset!$J:$J,"&gt;="&amp;$C60)</f>
        <v>0</v>
      </c>
      <c r="S60" s="89">
        <f>SUMIFS(Dataset!$AK:$AK,Dataset!$F:$F,'credito latam'!$D$11,Dataset!$AN:$AN,S$44,Dataset!$J:$J,"&lt;"&amp;$D60,Dataset!$J:$J,"&gt;="&amp;$C60)</f>
        <v>0</v>
      </c>
      <c r="T60" s="89">
        <f>SUMIFS(Dataset!$AK:$AK,Dataset!$F:$F,'credito latam'!$D$11,Dataset!$AN:$AN,T$44,Dataset!$J:$J,"&lt;"&amp;$D60,Dataset!$J:$J,"&gt;="&amp;$C60)</f>
        <v>0</v>
      </c>
      <c r="U60" s="89">
        <f>SUMIFS(Dataset!$AK:$AK,Dataset!$F:$F,'credito latam'!$D$11,Dataset!$AN:$AN,U$44,Dataset!$J:$J,"&lt;"&amp;$D60,Dataset!$J:$J,"&gt;="&amp;$C60)</f>
        <v>0</v>
      </c>
      <c r="V60" s="89">
        <f>SUMIFS(Dataset!$AK:$AK,Dataset!$F:$F,'credito latam'!$D$11,Dataset!$AN:$AN,V$44,Dataset!$J:$J,"&lt;"&amp;$D60,Dataset!$J:$J,"&gt;="&amp;$C60)</f>
        <v>0</v>
      </c>
      <c r="W60" s="83">
        <f>SUMIFS(Dataset!$AK:$AK,Dataset!$F:$F,'credito latam'!$D$11,Dataset!$AN:$AN,W$44,Dataset!$J:$J,"&lt;"&amp;$D60,Dataset!$J:$J,"&gt;="&amp;$C60)</f>
        <v>0</v>
      </c>
      <c r="X60" s="83">
        <f>SUMIFS(Dataset!$AK:$AK,Dataset!$F:$F,'credito latam'!$D$11,Dataset!$AN:$AN,"B-",Dataset!$J:$J,"&lt;"&amp;$D60,Dataset!$J:$J,"&gt;="&amp;$C60)+SUMIFS(Dataset!$AK:$AK,Dataset!$F:$F,'credito latam'!$D$11,Dataset!$AN:$AN,"B",Dataset!$J:$J,"&lt;"&amp;$D60,Dataset!$J:$J,"&gt;="&amp;$C60)+SUMIFS(Dataset!$AK:$AK,Dataset!$F:$F,'credito latam'!$D$11,Dataset!$AN:$AN,"B+",Dataset!$J:$J,"&lt;"&amp;$D60,Dataset!$J:$J,"&gt;="&amp;$C60)</f>
        <v>0</v>
      </c>
      <c r="Y60" s="120">
        <f>SUMIFS(Dataset!$AK:$AK,Dataset!$F:$F,'credito latam'!$D$11,Dataset!$AN:$AN,Y$44,Dataset!$J:$J,"&lt;"&amp;$D60,Dataset!$J:$J,"&gt;="&amp;$C60)</f>
        <v>0</v>
      </c>
      <c r="Z60" s="90">
        <f t="shared" si="2"/>
        <v>0</v>
      </c>
      <c r="AA60" s="121">
        <f>(SUMIFS(Dataset!$H:$H,Dataset!$F:$F,'credito latam'!$D$11,Dataset!$Z:$Z,AA$44,Dataset!$J:$J,"&lt;"&amp;$D60,Dataset!$J:$J,"&gt;="&amp;$C60))*10</f>
        <v>0</v>
      </c>
      <c r="AB60" s="92">
        <f>(SUMIFS(Dataset!$H:$H,Dataset!$F:$F,'credito latam'!$D$11,Dataset!$Z:$Z,AB$44,Dataset!$J:$J,"&lt;"&amp;$D60,Dataset!$J:$J,"&gt;="&amp;$C60))*10</f>
        <v>0</v>
      </c>
      <c r="AC60" s="92">
        <f>(SUMIFS(Dataset!$H:$H,Dataset!$F:$F,'credito latam'!$D$11,Dataset!$Z:$Z,AC$44,Dataset!$J:$J,"&lt;"&amp;$D60,Dataset!$J:$J,"&gt;="&amp;$C60))*10</f>
        <v>0</v>
      </c>
      <c r="AD60" s="92">
        <f>(SUMIFS(Dataset!$H:$H,Dataset!$F:$F,'credito latam'!$D$11,Dataset!$Z:$Z,AD$44,Dataset!$J:$J,"&lt;"&amp;$D60,Dataset!$J:$J,"&gt;="&amp;$C60))*10</f>
        <v>0</v>
      </c>
      <c r="AE60" s="92">
        <f>(SUMIFS(Dataset!$H:$H,Dataset!$F:$F,'credito latam'!$D$11,Dataset!$Z:$Z,AE$44,Dataset!$J:$J,"&lt;"&amp;$D60,Dataset!$J:$J,"&gt;="&amp;$C60))*10</f>
        <v>0</v>
      </c>
      <c r="AF60" s="92">
        <f>(SUMIFS(Dataset!$H:$H,Dataset!$F:$F,'credito latam'!$D$11,Dataset!$Z:$Z,AF$44,Dataset!$J:$J,"&lt;"&amp;$D60,Dataset!$J:$J,"&gt;="&amp;$C60))*10</f>
        <v>0</v>
      </c>
      <c r="AG60" s="122">
        <f>SUMIFS(Dataset!$H:$H,Dataset!$F:$F,'credito latam'!$D$11,Dataset!$J:$J,"&lt;"&amp;$D60,Dataset!J:J,"&gt;="&amp;$C60,Dataset!$Z:$Z,"&lt;&gt;CL",Dataset!$Z:$Z,"&lt;&gt;MX",Dataset!$Z:$Z,"&lt;&gt;CO",Dataset!$Z:$Z,"&lt;&gt;PE",Dataset!$Z:$Z,"&lt;&gt;BR",Dataset!$Z:$Z,"&lt;&gt;CI",Dataset!$Z:$Z,"&lt;&gt;PA")*10</f>
        <v>0</v>
      </c>
      <c r="AH60" s="93">
        <f t="shared" si="3"/>
        <v>0</v>
      </c>
    </row>
    <row r="61" spans="3:34" ht="33" customHeight="1" x14ac:dyDescent="0.3">
      <c r="C61" s="183"/>
      <c r="D61" s="184"/>
      <c r="E61" s="75">
        <f t="shared" ref="E61:K61" si="4">SUM(E45:E60)</f>
        <v>0</v>
      </c>
      <c r="F61" s="75">
        <f t="shared" si="4"/>
        <v>0</v>
      </c>
      <c r="G61" s="75">
        <f t="shared" si="4"/>
        <v>0</v>
      </c>
      <c r="H61" s="75">
        <f t="shared" si="4"/>
        <v>0</v>
      </c>
      <c r="I61" s="75">
        <f t="shared" si="4"/>
        <v>0</v>
      </c>
      <c r="J61" s="75">
        <f t="shared" si="4"/>
        <v>0</v>
      </c>
      <c r="K61" s="123">
        <f t="shared" si="4"/>
        <v>0</v>
      </c>
      <c r="L61" s="84">
        <f t="shared" si="1"/>
        <v>0</v>
      </c>
      <c r="M61" s="75">
        <f t="shared" ref="M61:Y61" si="5">SUM(M45:M60)</f>
        <v>0</v>
      </c>
      <c r="N61" s="75">
        <f t="shared" si="5"/>
        <v>0</v>
      </c>
      <c r="O61" s="75">
        <f t="shared" si="5"/>
        <v>0</v>
      </c>
      <c r="P61" s="75">
        <f t="shared" si="5"/>
        <v>0</v>
      </c>
      <c r="Q61" s="75">
        <f t="shared" si="5"/>
        <v>0</v>
      </c>
      <c r="R61" s="75">
        <f t="shared" si="5"/>
        <v>0</v>
      </c>
      <c r="S61" s="75">
        <f t="shared" si="5"/>
        <v>0</v>
      </c>
      <c r="T61" s="75">
        <f t="shared" si="5"/>
        <v>0</v>
      </c>
      <c r="U61" s="75">
        <f t="shared" si="5"/>
        <v>0</v>
      </c>
      <c r="V61" s="75">
        <f t="shared" si="5"/>
        <v>0</v>
      </c>
      <c r="W61" s="75">
        <f t="shared" si="5"/>
        <v>0</v>
      </c>
      <c r="X61" s="75">
        <f t="shared" si="5"/>
        <v>0</v>
      </c>
      <c r="Y61" s="123">
        <f t="shared" si="5"/>
        <v>0</v>
      </c>
      <c r="Z61" s="84">
        <f t="shared" si="2"/>
        <v>0</v>
      </c>
      <c r="AA61" s="78">
        <f t="shared" ref="AA61:AF61" si="6">SUM(AA45:AA60)</f>
        <v>0</v>
      </c>
      <c r="AB61" s="78">
        <f t="shared" si="6"/>
        <v>0</v>
      </c>
      <c r="AC61" s="78">
        <f t="shared" si="6"/>
        <v>0</v>
      </c>
      <c r="AD61" s="78">
        <f t="shared" si="6"/>
        <v>0</v>
      </c>
      <c r="AE61" s="78">
        <f t="shared" si="6"/>
        <v>0</v>
      </c>
      <c r="AF61" s="78">
        <f t="shared" si="6"/>
        <v>0</v>
      </c>
      <c r="AG61" s="124">
        <f>SUM(AG45:AG60)</f>
        <v>0</v>
      </c>
      <c r="AH61" s="87">
        <f t="shared" si="3"/>
        <v>0</v>
      </c>
    </row>
    <row r="62" spans="3:34" ht="15" customHeight="1" x14ac:dyDescent="0.3">
      <c r="W62" s="125"/>
      <c r="X62" s="125"/>
    </row>
    <row r="63" spans="3:34" ht="48" customHeight="1" x14ac:dyDescent="0.3">
      <c r="E63" s="176" t="s">
        <v>235</v>
      </c>
      <c r="F63" s="176"/>
      <c r="G63" s="176"/>
      <c r="H63" s="176"/>
      <c r="I63" s="176"/>
      <c r="J63" s="176"/>
      <c r="K63" s="176"/>
      <c r="L63" s="176"/>
      <c r="M63" s="176"/>
      <c r="N63" s="176"/>
      <c r="O63" s="176"/>
      <c r="P63" s="176"/>
      <c r="Q63" s="176"/>
      <c r="R63" s="50"/>
      <c r="S63" s="176" t="s">
        <v>226</v>
      </c>
      <c r="T63" s="176"/>
      <c r="U63" s="176"/>
      <c r="V63" s="176"/>
      <c r="W63" s="176"/>
      <c r="X63" s="176"/>
      <c r="Y63" s="176"/>
      <c r="Z63" s="176"/>
      <c r="AA63" s="176"/>
      <c r="AB63" s="176"/>
      <c r="AC63" s="176"/>
      <c r="AD63" s="176"/>
      <c r="AE63" s="176"/>
    </row>
    <row r="64" spans="3:34" ht="15" customHeight="1" x14ac:dyDescent="0.3">
      <c r="L64" s="70"/>
      <c r="O64" s="69"/>
      <c r="P64" s="69"/>
      <c r="Q64" s="69"/>
      <c r="R64" s="69"/>
      <c r="S64" s="69"/>
      <c r="T64" s="69"/>
      <c r="U64" s="69"/>
      <c r="V64" s="70"/>
    </row>
    <row r="65" spans="3:32" ht="42" customHeight="1" x14ac:dyDescent="0.3">
      <c r="C65" s="177" t="s">
        <v>68</v>
      </c>
      <c r="D65" s="177"/>
      <c r="E65" s="94" t="s">
        <v>42</v>
      </c>
      <c r="F65" s="94" t="s">
        <v>33</v>
      </c>
      <c r="G65" s="94" t="s">
        <v>138</v>
      </c>
      <c r="H65" s="94" t="s">
        <v>51</v>
      </c>
      <c r="I65" s="94" t="s">
        <v>146</v>
      </c>
      <c r="J65" s="94" t="s">
        <v>144</v>
      </c>
      <c r="K65" s="94" t="s">
        <v>50</v>
      </c>
      <c r="L65" s="94" t="s">
        <v>142</v>
      </c>
      <c r="M65" s="94" t="s">
        <v>145</v>
      </c>
      <c r="N65" s="94" t="s">
        <v>140</v>
      </c>
      <c r="O65" s="94" t="s">
        <v>150</v>
      </c>
      <c r="P65" s="94" t="s">
        <v>155</v>
      </c>
      <c r="Q65" s="94" t="s">
        <v>46</v>
      </c>
      <c r="R65" s="94" t="s">
        <v>80</v>
      </c>
      <c r="S65" s="94" t="s">
        <v>42</v>
      </c>
      <c r="T65" s="94" t="s">
        <v>33</v>
      </c>
      <c r="U65" s="94" t="s">
        <v>138</v>
      </c>
      <c r="V65" s="94" t="s">
        <v>51</v>
      </c>
      <c r="W65" s="94" t="s">
        <v>146</v>
      </c>
      <c r="X65" s="94" t="s">
        <v>144</v>
      </c>
      <c r="Y65" s="94" t="s">
        <v>50</v>
      </c>
      <c r="Z65" s="94" t="s">
        <v>142</v>
      </c>
      <c r="AA65" s="94" t="s">
        <v>145</v>
      </c>
      <c r="AB65" s="94" t="s">
        <v>140</v>
      </c>
      <c r="AC65" s="94" t="s">
        <v>150</v>
      </c>
      <c r="AD65" s="94" t="s">
        <v>155</v>
      </c>
      <c r="AE65" s="94" t="s">
        <v>46</v>
      </c>
      <c r="AF65" s="94"/>
    </row>
    <row r="66" spans="3:32" ht="27" customHeight="1" x14ac:dyDescent="0.3">
      <c r="C66" s="72">
        <v>0</v>
      </c>
      <c r="D66" s="73">
        <v>0.5</v>
      </c>
      <c r="E66" s="109">
        <f>SUMIFS(Dataset!$AJ:$AJ,Dataset!$F:$F,'credito latam'!$D$11,Dataset!$AN:$AN,"*AAA*",Dataset!$J:$J,"&lt;"&amp;$D66,Dataset!$J:$J,"&gt;="&amp;$C66)</f>
        <v>0</v>
      </c>
      <c r="F66" s="98">
        <f>SUMIFS(Dataset!$AJ:$AJ,Dataset!$F:$F,'credito latam'!$D$11,Dataset!$AN:$AN,"AA+",Dataset!$J:$J,"&lt;"&amp;$D66,Dataset!$J:$J,"&gt;="&amp;$C66)+SUMIFS(Dataset!$AJ:$AJ,Dataset!$F:$F,'credito latam'!$D$11,Dataset!$AN:$AN,"AA",Dataset!$J:$J,"&lt;"&amp;$D66,Dataset!$J:$J,"&gt;="&amp;$C66)+SUMIFS(Dataset!$AJ:$AJ,Dataset!$F:$F,'credito latam'!$D$11,Dataset!$AN:$AN,"AA-",Dataset!$J:$J,"&lt;"&amp;$D66,Dataset!$J:$J,"&gt;="&amp;$C66)</f>
        <v>0</v>
      </c>
      <c r="G66" s="98">
        <f>SUMIFS(Dataset!$AJ:$AJ,Dataset!$F:$F,'credito latam'!$D$11,Dataset!$AN:$AN,G$65,Dataset!$J:$J,"&lt;"&amp;$D66,Dataset!$J:$J,"&gt;="&amp;$C66)</f>
        <v>0</v>
      </c>
      <c r="H66" s="98">
        <f>SUMIFS(Dataset!$AJ:$AJ,Dataset!$F:$F,'credito latam'!$D$11,Dataset!$AN:$AN,H$65,Dataset!$J:$J,"&lt;"&amp;$D66,Dataset!$J:$J,"&gt;="&amp;$C66)</f>
        <v>0</v>
      </c>
      <c r="I66" s="98">
        <f>SUMIFS(Dataset!$AJ:$AJ,Dataset!$F:$F,'credito latam'!$D$11,Dataset!$AN:$AN,I$65,Dataset!$J:$J,"&lt;"&amp;$D66,Dataset!$J:$J,"&gt;="&amp;$C66)</f>
        <v>0</v>
      </c>
      <c r="J66" s="98">
        <f>SUMIFS(Dataset!$AJ:$AJ,Dataset!$F:$F,'credito latam'!$D$11,Dataset!$AN:$AN,J$65,Dataset!$J:$J,"&lt;"&amp;$D66,Dataset!$J:$J,"&gt;="&amp;$C66)</f>
        <v>0</v>
      </c>
      <c r="K66" s="98">
        <f>SUMIFS(Dataset!$AJ:$AJ,Dataset!$F:$F,'credito latam'!$D$11,Dataset!$AN:$AN,K$65,Dataset!$J:$J,"&lt;"&amp;$D66,Dataset!$J:$J,"&gt;="&amp;$C66)</f>
        <v>0</v>
      </c>
      <c r="L66" s="98">
        <f>SUMIFS(Dataset!$AJ:$AJ,Dataset!$F:$F,'credito latam'!$D$11,Dataset!$AN:$AN,L$65,Dataset!$J:$J,"&lt;"&amp;$D66,Dataset!$J:$J,"&gt;="&amp;$C66)</f>
        <v>0</v>
      </c>
      <c r="M66" s="98">
        <f>SUMIFS(Dataset!$AJ:$AJ,Dataset!$F:$F,'credito latam'!$D$11,Dataset!$AN:$AN,M$65,Dataset!$J:$J,"&lt;"&amp;$D66,Dataset!$J:$J,"&gt;="&amp;$C66)</f>
        <v>0</v>
      </c>
      <c r="N66" s="98">
        <f>SUMIFS(Dataset!$AJ:$AJ,Dataset!$F:$F,'credito latam'!$D$11,Dataset!$AN:$AN,N$65,Dataset!$J:$J,"&lt;"&amp;$D66,Dataset!$J:$J,"&gt;="&amp;$C66)</f>
        <v>0</v>
      </c>
      <c r="O66" s="98">
        <f>SUMIFS(Dataset!$AJ:$AJ,Dataset!$F:$F,'credito latam'!$D$11,Dataset!$AN:$AN,O$65,Dataset!$J:$J,"&lt;"&amp;$D66,Dataset!$J:$J,"&gt;="&amp;$C66)</f>
        <v>0</v>
      </c>
      <c r="P66" s="98">
        <f>SUMIFS(Dataset!$AJ:$AJ,Dataset!$F:$F,'credito latam'!$D$11,Dataset!$AN:$AN,"B-",Dataset!$J:$J,"&lt;"&amp;$D66,Dataset!$J:$J,"&gt;="&amp;$C66)+SUMIFS(Dataset!$AJ:$AJ,Dataset!$F:$F,'credito latam'!$D$11,Dataset!$AN:$AN,"B",Dataset!$J:$J,"&lt;"&amp;$D66,Dataset!$J:$J,"&gt;="&amp;$C66)+SUMIFS(Dataset!$AJ:$AJ,Dataset!$F:$F,'credito latam'!$D$11,Dataset!$AN:$AN,"B+",Dataset!$J:$J,"&lt;"&amp;$D66,Dataset!$J:$J,"&gt;="&amp;$C66)</f>
        <v>0</v>
      </c>
      <c r="Q66" s="99">
        <f>SUMIFS(Dataset!$AJ:$AJ,Dataset!$F:$F,'credito latam'!$D$11,Dataset!$AN:$AN,Q$65,Dataset!$J:$J,"&lt;"&amp;$D66,Dataset!$J:$J,"&gt;="&amp;$C66)</f>
        <v>0</v>
      </c>
      <c r="R66" s="84">
        <f t="shared" ref="R66:R82" si="7">SUM(E66:Q66)</f>
        <v>0</v>
      </c>
      <c r="S66" s="109">
        <f>SUMIFS(Dataset!$AA:$AA,Dataset!$F:$F,'credito latam'!$D$11,Dataset!$AN:$AN,"*AAA*",Dataset!$J:$J,"&lt;"&amp;$D66,Dataset!$J:$J,"&gt;="&amp;$C66)</f>
        <v>0</v>
      </c>
      <c r="T66" s="98">
        <f>SUMIFS(Dataset!$AA:$AA,Dataset!$F:$F,'credito latam'!$D$11,Dataset!$AN:$AN,"AA+",Dataset!$J:$J,"&lt;"&amp;$D66,Dataset!$J:$J,"&gt;="&amp;$C66)+SUMIFS(Dataset!$AA:$AA,Dataset!$F:$F,'credito latam'!$D$11,Dataset!$AN:$AN,"AA",Dataset!$J:$J,"&lt;"&amp;$D66,Dataset!$J:$J,"&gt;="&amp;$C66)+SUMIFS(Dataset!$AA:$AA,Dataset!$F:$F,'credito latam'!$D$11,Dataset!$AN:$AN,"AA-",Dataset!$J:$J,"&lt;"&amp;$D66,Dataset!$J:$J,"&gt;="&amp;$C66)</f>
        <v>0</v>
      </c>
      <c r="U66" s="98">
        <f>SUMIFS(Dataset!$AA:$AA,Dataset!$F:$F,'credito latam'!$D$11,Dataset!$AN:$AN,U$65,Dataset!$J:$J,"&lt;"&amp;$D66,Dataset!$J:$J,"&gt;="&amp;$C66)</f>
        <v>0</v>
      </c>
      <c r="V66" s="98">
        <f>SUMIFS(Dataset!$AA:$AA,Dataset!$F:$F,'credito latam'!$D$11,Dataset!$AN:$AN,V$65,Dataset!$J:$J,"&lt;"&amp;$D66,Dataset!$J:$J,"&gt;="&amp;$C66)</f>
        <v>0</v>
      </c>
      <c r="W66" s="98">
        <f>SUMIFS(Dataset!$AA:$AA,Dataset!$F:$F,'credito latam'!$D$11,Dataset!$AN:$AN,W$65,Dataset!$J:$J,"&lt;"&amp;$D66,Dataset!$J:$J,"&gt;="&amp;$C66)</f>
        <v>0</v>
      </c>
      <c r="X66" s="98">
        <f>SUMIFS(Dataset!$AA:$AA,Dataset!$F:$F,'credito latam'!$D$11,Dataset!$AN:$AN,X$65,Dataset!$J:$J,"&lt;"&amp;$D66,Dataset!$J:$J,"&gt;="&amp;$C66)</f>
        <v>0</v>
      </c>
      <c r="Y66" s="98">
        <f>SUMIFS(Dataset!$AA:$AA,Dataset!$F:$F,'credito latam'!$D$11,Dataset!$AN:$AN,Y$65,Dataset!$J:$J,"&lt;"&amp;$D66,Dataset!$J:$J,"&gt;="&amp;$C66)</f>
        <v>0</v>
      </c>
      <c r="Z66" s="98">
        <f>SUMIFS(Dataset!$AA:$AA,Dataset!$F:$F,'credito latam'!$D$11,Dataset!$AN:$AN,Z$65,Dataset!$J:$J,"&lt;"&amp;$D66,Dataset!$J:$J,"&gt;="&amp;$C66)</f>
        <v>0</v>
      </c>
      <c r="AA66" s="98">
        <f>SUMIFS(Dataset!$AA:$AA,Dataset!$F:$F,'credito latam'!$D$11,Dataset!$AN:$AN,AA$65,Dataset!$J:$J,"&lt;"&amp;$D66,Dataset!$J:$J,"&gt;="&amp;$C66)</f>
        <v>0</v>
      </c>
      <c r="AB66" s="98">
        <f>SUMIFS(Dataset!$AA:$AA,Dataset!$F:$F,'credito latam'!$D$11,Dataset!$AN:$AN,AB$65,Dataset!$J:$J,"&lt;"&amp;$D66,Dataset!$J:$J,"&gt;="&amp;$C66)</f>
        <v>0</v>
      </c>
      <c r="AC66" s="98">
        <f>SUMIFS(Dataset!$AA:$AA,Dataset!$F:$F,'credito latam'!$D$11,Dataset!$AN:$AN,AC$65,Dataset!$J:$J,"&lt;"&amp;$D66,Dataset!$J:$J,"&gt;="&amp;$C66)</f>
        <v>0</v>
      </c>
      <c r="AD66" s="98">
        <f>SUMIFS(Dataset!$AA:$AA,Dataset!$F:$F,'credito latam'!$D$11,Dataset!$AN:$AN,"B-",Dataset!$J:$J,"&lt;"&amp;$D66,Dataset!$J:$J,"&gt;="&amp;$C66)+SUMIFS(Dataset!$AA:$AA,Dataset!$F:$F,'credito latam'!$D$11,Dataset!$AN:$AN,"B",Dataset!$J:$J,"&lt;"&amp;$D66,Dataset!$J:$J,"&gt;="&amp;$C66)+SUMIFS(Dataset!$AA:$AA,Dataset!$F:$F,'credito latam'!$D$11,Dataset!$AN:$AN,"B+",Dataset!$J:$J,"&lt;"&amp;$D66,Dataset!$J:$J,"&gt;="&amp;$C66)</f>
        <v>0</v>
      </c>
      <c r="AE66" s="99">
        <f>SUMIFS(Dataset!$AA:$AA,Dataset!$F:$F,'credito latam'!$D$11,Dataset!$AN:$AN,AE$65,Dataset!$J:$J,"&lt;"&amp;$D66,Dataset!$J:$J,"&gt;="&amp;$C66)</f>
        <v>0</v>
      </c>
      <c r="AF66" s="84">
        <f t="shared" ref="AF66:AF82" si="8">SUM(S66:AE66)</f>
        <v>0</v>
      </c>
    </row>
    <row r="67" spans="3:32" ht="27" customHeight="1" x14ac:dyDescent="0.3">
      <c r="C67" s="61">
        <v>0.5</v>
      </c>
      <c r="D67" s="81">
        <v>1.5</v>
      </c>
      <c r="E67" s="113">
        <f>SUMIFS(Dataset!$AJ:$AJ,Dataset!$F:$F,'credito latam'!$D$11,Dataset!$AN:$AN,"*AAA*",Dataset!$J:$J,"&lt;"&amp;$D67,Dataset!$J:$J,"&gt;="&amp;$C67)</f>
        <v>0</v>
      </c>
      <c r="F67" s="83">
        <f>SUMIFS(Dataset!$AJ:$AJ,Dataset!$F:$F,'credito latam'!$D$11,Dataset!$AN:$AN,"AA+",Dataset!$J:$J,"&lt;"&amp;$D67,Dataset!$J:$J,"&gt;="&amp;$C67)+SUMIFS(Dataset!$AJ:$AJ,Dataset!$F:$F,'credito latam'!$D$11,Dataset!$AN:$AN,"AA",Dataset!$J:$J,"&lt;"&amp;$D67,Dataset!$J:$J,"&gt;="&amp;$C67)+SUMIFS(Dataset!$AJ:$AJ,Dataset!$F:$F,'credito latam'!$D$11,Dataset!$AN:$AN,"AA-",Dataset!$J:$J,"&lt;"&amp;$D67,Dataset!$J:$J,"&gt;="&amp;$C67)</f>
        <v>0</v>
      </c>
      <c r="G67" s="83">
        <f>SUMIFS(Dataset!$AJ:$AJ,Dataset!$F:$F,'credito latam'!$D$11,Dataset!$AN:$AN,G$65,Dataset!$J:$J,"&lt;"&amp;$D67,Dataset!$J:$J,"&gt;="&amp;$C67)</f>
        <v>0</v>
      </c>
      <c r="H67" s="83">
        <f>SUMIFS(Dataset!$AJ:$AJ,Dataset!$F:$F,'credito latam'!$D$11,Dataset!$AN:$AN,H$65,Dataset!$J:$J,"&lt;"&amp;$D67,Dataset!$J:$J,"&gt;="&amp;$C67)</f>
        <v>0</v>
      </c>
      <c r="I67" s="83">
        <f>SUMIFS(Dataset!$AJ:$AJ,Dataset!$F:$F,'credito latam'!$D$11,Dataset!$AN:$AN,I$65,Dataset!$J:$J,"&lt;"&amp;$D67,Dataset!$J:$J,"&gt;="&amp;$C67)</f>
        <v>0</v>
      </c>
      <c r="J67" s="83">
        <f>SUMIFS(Dataset!$AJ:$AJ,Dataset!$F:$F,'credito latam'!$D$11,Dataset!$AN:$AN,J$65,Dataset!$J:$J,"&lt;"&amp;$D67,Dataset!$J:$J,"&gt;="&amp;$C67)</f>
        <v>0</v>
      </c>
      <c r="K67" s="83">
        <f>SUMIFS(Dataset!$AJ:$AJ,Dataset!$F:$F,'credito latam'!$D$11,Dataset!$AN:$AN,K$65,Dataset!$J:$J,"&lt;"&amp;$D67,Dataset!$J:$J,"&gt;="&amp;$C67)</f>
        <v>0</v>
      </c>
      <c r="L67" s="83">
        <f>SUMIFS(Dataset!$AJ:$AJ,Dataset!$F:$F,'credito latam'!$D$11,Dataset!$AN:$AN,L$65,Dataset!$J:$J,"&lt;"&amp;$D67,Dataset!$J:$J,"&gt;="&amp;$C67)</f>
        <v>0</v>
      </c>
      <c r="M67" s="83">
        <f>SUMIFS(Dataset!$AJ:$AJ,Dataset!$F:$F,'credito latam'!$D$11,Dataset!$AN:$AN,M$65,Dataset!$J:$J,"&lt;"&amp;$D67,Dataset!$J:$J,"&gt;="&amp;$C67)</f>
        <v>0</v>
      </c>
      <c r="N67" s="83">
        <f>SUMIFS(Dataset!$AJ:$AJ,Dataset!$F:$F,'credito latam'!$D$11,Dataset!$AN:$AN,N$65,Dataset!$J:$J,"&lt;"&amp;$D67,Dataset!$J:$J,"&gt;="&amp;$C67)</f>
        <v>0</v>
      </c>
      <c r="O67" s="83">
        <f>SUMIFS(Dataset!$AJ:$AJ,Dataset!$F:$F,'credito latam'!$D$11,Dataset!$AN:$AN,O$65,Dataset!$J:$J,"&lt;"&amp;$D67,Dataset!$J:$J,"&gt;="&amp;$C67)</f>
        <v>0</v>
      </c>
      <c r="P67" s="83">
        <f>SUMIFS(Dataset!$AJ:$AJ,Dataset!$F:$F,'credito latam'!$D$11,Dataset!$AN:$AN,"B-",Dataset!$J:$J,"&lt;"&amp;$D67,Dataset!$J:$J,"&gt;="&amp;$C67)+SUMIFS(Dataset!$AJ:$AJ,Dataset!$F:$F,'credito latam'!$D$11,Dataset!$AN:$AN,"B",Dataset!$J:$J,"&lt;"&amp;$D67,Dataset!$J:$J,"&gt;="&amp;$C67)+SUMIFS(Dataset!$AJ:$AJ,Dataset!$F:$F,'credito latam'!$D$11,Dataset!$AN:$AN,"B+",Dataset!$J:$J,"&lt;"&amp;$D67,Dataset!$J:$J,"&gt;="&amp;$C67)</f>
        <v>0</v>
      </c>
      <c r="Q67" s="114">
        <f>SUMIFS(Dataset!$AJ:$AJ,Dataset!$F:$F,'credito latam'!$D$11,Dataset!$AN:$AN,Q$65,Dataset!$J:$J,"&lt;"&amp;$D67,Dataset!$J:$J,"&gt;="&amp;$C67)</f>
        <v>0</v>
      </c>
      <c r="R67" s="84">
        <f t="shared" si="7"/>
        <v>0</v>
      </c>
      <c r="S67" s="113">
        <f>SUMIFS(Dataset!$AA:$AA,Dataset!$F:$F,'credito latam'!$D$11,Dataset!$AN:$AN,"*AAA*",Dataset!$J:$J,"&lt;"&amp;$D67,Dataset!$J:$J,"&gt;="&amp;$C67)</f>
        <v>0</v>
      </c>
      <c r="T67" s="83">
        <f>SUMIFS(Dataset!$AA:$AA,Dataset!$F:$F,'credito latam'!$D$11,Dataset!$AN:$AN,"AA+",Dataset!$J:$J,"&lt;"&amp;$D67,Dataset!$J:$J,"&gt;="&amp;$C67)+SUMIFS(Dataset!$AA:$AA,Dataset!$F:$F,'credito latam'!$D$11,Dataset!$AN:$AN,"AA",Dataset!$J:$J,"&lt;"&amp;$D67,Dataset!$J:$J,"&gt;="&amp;$C67)+SUMIFS(Dataset!$AA:$AA,Dataset!$F:$F,'credito latam'!$D$11,Dataset!$AN:$AN,"AA-",Dataset!$J:$J,"&lt;"&amp;$D67,Dataset!$J:$J,"&gt;="&amp;$C67)</f>
        <v>0</v>
      </c>
      <c r="U67" s="83">
        <f>SUMIFS(Dataset!$AA:$AA,Dataset!$F:$F,'credito latam'!$D$11,Dataset!$AN:$AN,U$65,Dataset!$J:$J,"&lt;"&amp;$D67,Dataset!$J:$J,"&gt;="&amp;$C67)</f>
        <v>0</v>
      </c>
      <c r="V67" s="83">
        <f>SUMIFS(Dataset!$AA:$AA,Dataset!$F:$F,'credito latam'!$D$11,Dataset!$AN:$AN,V$65,Dataset!$J:$J,"&lt;"&amp;$D67,Dataset!$J:$J,"&gt;="&amp;$C67)</f>
        <v>0</v>
      </c>
      <c r="W67" s="83">
        <f>SUMIFS(Dataset!$AA:$AA,Dataset!$F:$F,'credito latam'!$D$11,Dataset!$AN:$AN,W$65,Dataset!$J:$J,"&lt;"&amp;$D67,Dataset!$J:$J,"&gt;="&amp;$C67)</f>
        <v>0</v>
      </c>
      <c r="X67" s="83">
        <f>SUMIFS(Dataset!$AA:$AA,Dataset!$F:$F,'credito latam'!$D$11,Dataset!$AN:$AN,X$65,Dataset!$J:$J,"&lt;"&amp;$D67,Dataset!$J:$J,"&gt;="&amp;$C67)</f>
        <v>0</v>
      </c>
      <c r="Y67" s="83">
        <f>SUMIFS(Dataset!$AA:$AA,Dataset!$F:$F,'credito latam'!$D$11,Dataset!$AN:$AN,Y$65,Dataset!$J:$J,"&lt;"&amp;$D67,Dataset!$J:$J,"&gt;="&amp;$C67)</f>
        <v>0</v>
      </c>
      <c r="Z67" s="83">
        <f>SUMIFS(Dataset!$AA:$AA,Dataset!$F:$F,'credito latam'!$D$11,Dataset!$AN:$AN,Z$65,Dataset!$J:$J,"&lt;"&amp;$D67,Dataset!$J:$J,"&gt;="&amp;$C67)</f>
        <v>0</v>
      </c>
      <c r="AA67" s="83">
        <f>SUMIFS(Dataset!$AA:$AA,Dataset!$F:$F,'credito latam'!$D$11,Dataset!$AN:$AN,AA$65,Dataset!$J:$J,"&lt;"&amp;$D67,Dataset!$J:$J,"&gt;="&amp;$C67)</f>
        <v>0</v>
      </c>
      <c r="AB67" s="83">
        <f>SUMIFS(Dataset!$AA:$AA,Dataset!$F:$F,'credito latam'!$D$11,Dataset!$AN:$AN,AB$65,Dataset!$J:$J,"&lt;"&amp;$D67,Dataset!$J:$J,"&gt;="&amp;$C67)</f>
        <v>0</v>
      </c>
      <c r="AC67" s="83">
        <f>SUMIFS(Dataset!$AA:$AA,Dataset!$F:$F,'credito latam'!$D$11,Dataset!$AN:$AN,AC$65,Dataset!$J:$J,"&lt;"&amp;$D67,Dataset!$J:$J,"&gt;="&amp;$C67)</f>
        <v>0</v>
      </c>
      <c r="AD67" s="83">
        <f>SUMIFS(Dataset!$AA:$AA,Dataset!$F:$F,'credito latam'!$D$11,Dataset!$AN:$AN,"B-",Dataset!$J:$J,"&lt;"&amp;$D67,Dataset!$J:$J,"&gt;="&amp;$C67)+SUMIFS(Dataset!$AA:$AA,Dataset!$F:$F,'credito latam'!$D$11,Dataset!$AN:$AN,"B",Dataset!$J:$J,"&lt;"&amp;$D67,Dataset!$J:$J,"&gt;="&amp;$C67)+SUMIFS(Dataset!$AA:$AA,Dataset!$F:$F,'credito latam'!$D$11,Dataset!$AN:$AN,"B+",Dataset!$J:$J,"&lt;"&amp;$D67,Dataset!$J:$J,"&gt;="&amp;$C67)</f>
        <v>0</v>
      </c>
      <c r="AE67" s="114">
        <f>SUMIFS(Dataset!$AA:$AA,Dataset!$F:$F,'credito latam'!$D$11,Dataset!$AN:$AN,AE$65,Dataset!$J:$J,"&lt;"&amp;$D67,Dataset!$J:$J,"&gt;="&amp;$C67)</f>
        <v>0</v>
      </c>
      <c r="AF67" s="84">
        <f t="shared" si="8"/>
        <v>0</v>
      </c>
    </row>
    <row r="68" spans="3:32" ht="39" customHeight="1" x14ac:dyDescent="0.3">
      <c r="C68" s="61">
        <v>1.5</v>
      </c>
      <c r="D68" s="81">
        <v>2.5</v>
      </c>
      <c r="E68" s="113">
        <f>SUMIFS(Dataset!$AJ:$AJ,Dataset!$F:$F,'credito latam'!$D$11,Dataset!$AN:$AN,"*AAA*",Dataset!$J:$J,"&lt;"&amp;$D68,Dataset!$J:$J,"&gt;="&amp;$C68)</f>
        <v>0</v>
      </c>
      <c r="F68" s="101">
        <f>SUMIFS(Dataset!$AJ:$AJ,Dataset!$F:$F,'credito latam'!$D$11,Dataset!$AN:$AN,"AA+",Dataset!$J:$J,"&lt;"&amp;$D68,Dataset!$J:$J,"&gt;="&amp;$C68)+SUMIFS(Dataset!$AJ:$AJ,Dataset!$F:$F,'credito latam'!$D$11,Dataset!$AN:$AN,"AA",Dataset!$J:$J,"&lt;"&amp;$D68,Dataset!$J:$J,"&gt;="&amp;$C68)+SUMIFS(Dataset!$AJ:$AJ,Dataset!$F:$F,'credito latam'!$D$11,Dataset!$AN:$AN,"AA-",Dataset!$J:$J,"&lt;"&amp;$D68,Dataset!$J:$J,"&gt;="&amp;$C68)</f>
        <v>0</v>
      </c>
      <c r="G68" s="101">
        <f>SUMIFS(Dataset!$AJ:$AJ,Dataset!$F:$F,'credito latam'!$D$11,Dataset!$AN:$AN,G$65,Dataset!$J:$J,"&lt;"&amp;$D68,Dataset!$J:$J,"&gt;="&amp;$C68)</f>
        <v>0</v>
      </c>
      <c r="H68" s="101">
        <f>SUMIFS(Dataset!$AJ:$AJ,Dataset!$F:$F,'credito latam'!$D$11,Dataset!$AN:$AN,H$65,Dataset!$J:$J,"&lt;"&amp;$D68,Dataset!$J:$J,"&gt;="&amp;$C68)</f>
        <v>0</v>
      </c>
      <c r="I68" s="101">
        <f>SUMIFS(Dataset!$AJ:$AJ,Dataset!$F:$F,'credito latam'!$D$11,Dataset!$AN:$AN,I$65,Dataset!$J:$J,"&lt;"&amp;$D68,Dataset!$J:$J,"&gt;="&amp;$C68)</f>
        <v>0</v>
      </c>
      <c r="J68" s="101">
        <f>SUMIFS(Dataset!$AJ:$AJ,Dataset!$F:$F,'credito latam'!$D$11,Dataset!$AN:$AN,J$65,Dataset!$J:$J,"&lt;"&amp;$D68,Dataset!$J:$J,"&gt;="&amp;$C68)</f>
        <v>0</v>
      </c>
      <c r="K68" s="101">
        <f>SUMIFS(Dataset!$AJ:$AJ,Dataset!$F:$F,'credito latam'!$D$11,Dataset!$AN:$AN,K$65,Dataset!$J:$J,"&lt;"&amp;$D68,Dataset!$J:$J,"&gt;="&amp;$C68)</f>
        <v>0</v>
      </c>
      <c r="L68" s="101">
        <f>SUMIFS(Dataset!$AJ:$AJ,Dataset!$F:$F,'credito latam'!$D$11,Dataset!$AN:$AN,L$65,Dataset!$J:$J,"&lt;"&amp;$D68,Dataset!$J:$J,"&gt;="&amp;$C68)</f>
        <v>0</v>
      </c>
      <c r="M68" s="101">
        <f>SUMIFS(Dataset!$AJ:$AJ,Dataset!$F:$F,'credito latam'!$D$11,Dataset!$AN:$AN,M$65,Dataset!$J:$J,"&lt;"&amp;$D68,Dataset!$J:$J,"&gt;="&amp;$C68)</f>
        <v>0</v>
      </c>
      <c r="N68" s="101">
        <f>SUMIFS(Dataset!$AJ:$AJ,Dataset!$F:$F,'credito latam'!$D$11,Dataset!$AN:$AN,N$65,Dataset!$J:$J,"&lt;"&amp;$D68,Dataset!$J:$J,"&gt;="&amp;$C68)</f>
        <v>0</v>
      </c>
      <c r="O68" s="101">
        <f>SUMIFS(Dataset!$AJ:$AJ,Dataset!$F:$F,'credito latam'!$D$11,Dataset!$AN:$AN,O$65,Dataset!$J:$J,"&lt;"&amp;$D68,Dataset!$J:$J,"&gt;="&amp;$C68)</f>
        <v>0</v>
      </c>
      <c r="P68" s="101">
        <f>SUMIFS(Dataset!$AJ:$AJ,Dataset!$F:$F,'credito latam'!$D$11,Dataset!$AN:$AN,"B-",Dataset!$J:$J,"&lt;"&amp;$D68,Dataset!$J:$J,"&gt;="&amp;$C68)+SUMIFS(Dataset!$AJ:$AJ,Dataset!$F:$F,'credito latam'!$D$11,Dataset!$AN:$AN,"B",Dataset!$J:$J,"&lt;"&amp;$D68,Dataset!$J:$J,"&gt;="&amp;$C68)+SUMIFS(Dataset!$AJ:$AJ,Dataset!$F:$F,'credito latam'!$D$11,Dataset!$AN:$AN,"B+",Dataset!$J:$J,"&lt;"&amp;$D68,Dataset!$J:$J,"&gt;="&amp;$C68)</f>
        <v>0</v>
      </c>
      <c r="Q68" s="102">
        <f>SUMIFS(Dataset!$AJ:$AJ,Dataset!$F:$F,'credito latam'!$D$11,Dataset!$AN:$AN,Q$65,Dataset!$J:$J,"&lt;"&amp;$D68,Dataset!$J:$J,"&gt;="&amp;$C68)</f>
        <v>0</v>
      </c>
      <c r="R68" s="84">
        <f t="shared" si="7"/>
        <v>0</v>
      </c>
      <c r="S68" s="113">
        <f>SUMIFS(Dataset!$AA:$AA,Dataset!$F:$F,'credito latam'!$D$11,Dataset!$AN:$AN,"*AAA*",Dataset!$J:$J,"&lt;"&amp;$D68,Dataset!$J:$J,"&gt;="&amp;$C68)</f>
        <v>0</v>
      </c>
      <c r="T68" s="101">
        <f>SUMIFS(Dataset!$AA:$AA,Dataset!$F:$F,'credito latam'!$D$11,Dataset!$AN:$AN,"AA+",Dataset!$J:$J,"&lt;"&amp;$D68,Dataset!$J:$J,"&gt;="&amp;$C68)+SUMIFS(Dataset!$AA:$AA,Dataset!$F:$F,'credito latam'!$D$11,Dataset!$AN:$AN,"AA",Dataset!$J:$J,"&lt;"&amp;$D68,Dataset!$J:$J,"&gt;="&amp;$C68)+SUMIFS(Dataset!$AA:$AA,Dataset!$F:$F,'credito latam'!$D$11,Dataset!$AN:$AN,"AA-",Dataset!$J:$J,"&lt;"&amp;$D68,Dataset!$J:$J,"&gt;="&amp;$C68)</f>
        <v>0</v>
      </c>
      <c r="U68" s="101">
        <f>SUMIFS(Dataset!$AA:$AA,Dataset!$F:$F,'credito latam'!$D$11,Dataset!$AN:$AN,U$65,Dataset!$J:$J,"&lt;"&amp;$D68,Dataset!$J:$J,"&gt;="&amp;$C68)</f>
        <v>0</v>
      </c>
      <c r="V68" s="101">
        <f>SUMIFS(Dataset!$AA:$AA,Dataset!$F:$F,'credito latam'!$D$11,Dataset!$AN:$AN,V$65,Dataset!$J:$J,"&lt;"&amp;$D68,Dataset!$J:$J,"&gt;="&amp;$C68)</f>
        <v>0</v>
      </c>
      <c r="W68" s="101">
        <f>SUMIFS(Dataset!$AA:$AA,Dataset!$F:$F,'credito latam'!$D$11,Dataset!$AN:$AN,W$65,Dataset!$J:$J,"&lt;"&amp;$D68,Dataset!$J:$J,"&gt;="&amp;$C68)</f>
        <v>0</v>
      </c>
      <c r="X68" s="101">
        <f>SUMIFS(Dataset!$AA:$AA,Dataset!$F:$F,'credito latam'!$D$11,Dataset!$AN:$AN,X$65,Dataset!$J:$J,"&lt;"&amp;$D68,Dataset!$J:$J,"&gt;="&amp;$C68)</f>
        <v>0</v>
      </c>
      <c r="Y68" s="101">
        <f>SUMIFS(Dataset!$AA:$AA,Dataset!$F:$F,'credito latam'!$D$11,Dataset!$AN:$AN,Y$65,Dataset!$J:$J,"&lt;"&amp;$D68,Dataset!$J:$J,"&gt;="&amp;$C68)</f>
        <v>0</v>
      </c>
      <c r="Z68" s="101">
        <f>SUMIFS(Dataset!$AA:$AA,Dataset!$F:$F,'credito latam'!$D$11,Dataset!$AN:$AN,Z$65,Dataset!$J:$J,"&lt;"&amp;$D68,Dataset!$J:$J,"&gt;="&amp;$C68)</f>
        <v>0</v>
      </c>
      <c r="AA68" s="101">
        <f>SUMIFS(Dataset!$AA:$AA,Dataset!$F:$F,'credito latam'!$D$11,Dataset!$AN:$AN,AA$65,Dataset!$J:$J,"&lt;"&amp;$D68,Dataset!$J:$J,"&gt;="&amp;$C68)</f>
        <v>0</v>
      </c>
      <c r="AB68" s="101">
        <f>SUMIFS(Dataset!$AA:$AA,Dataset!$F:$F,'credito latam'!$D$11,Dataset!$AN:$AN,AB$65,Dataset!$J:$J,"&lt;"&amp;$D68,Dataset!$J:$J,"&gt;="&amp;$C68)</f>
        <v>0</v>
      </c>
      <c r="AC68" s="101">
        <f>SUMIFS(Dataset!$AA:$AA,Dataset!$F:$F,'credito latam'!$D$11,Dataset!$AN:$AN,AC$65,Dataset!$J:$J,"&lt;"&amp;$D68,Dataset!$J:$J,"&gt;="&amp;$C68)</f>
        <v>0</v>
      </c>
      <c r="AD68" s="101">
        <f>SUMIFS(Dataset!$AA:$AA,Dataset!$F:$F,'credito latam'!$D$11,Dataset!$AN:$AN,"B-",Dataset!$J:$J,"&lt;"&amp;$D68,Dataset!$J:$J,"&gt;="&amp;$C68)+SUMIFS(Dataset!$AA:$AA,Dataset!$F:$F,'credito latam'!$D$11,Dataset!$AN:$AN,"B",Dataset!$J:$J,"&lt;"&amp;$D68,Dataset!$J:$J,"&gt;="&amp;$C68)+SUMIFS(Dataset!$AA:$AA,Dataset!$F:$F,'credito latam'!$D$11,Dataset!$AN:$AN,"B+",Dataset!$J:$J,"&lt;"&amp;$D68,Dataset!$J:$J,"&gt;="&amp;$C68)</f>
        <v>0</v>
      </c>
      <c r="AE68" s="102">
        <f>SUMIFS(Dataset!$AA:$AA,Dataset!$F:$F,'credito latam'!$D$11,Dataset!$AN:$AN,AE$65,Dataset!$J:$J,"&lt;"&amp;$D68,Dataset!$J:$J,"&gt;="&amp;$C68)</f>
        <v>0</v>
      </c>
      <c r="AF68" s="84">
        <f t="shared" si="8"/>
        <v>0</v>
      </c>
    </row>
    <row r="69" spans="3:32" ht="35.25" customHeight="1" x14ac:dyDescent="0.3">
      <c r="C69" s="61">
        <v>2.5</v>
      </c>
      <c r="D69" s="81">
        <v>3.5</v>
      </c>
      <c r="E69" s="113">
        <f>SUMIFS(Dataset!$AJ:$AJ,Dataset!$F:$F,'credito latam'!$D$11,Dataset!$AN:$AN,"*AAA*",Dataset!$J:$J,"&lt;"&amp;$D69,Dataset!$J:$J,"&gt;="&amp;$C69)</f>
        <v>0</v>
      </c>
      <c r="F69" s="83">
        <f>SUMIFS(Dataset!$AJ:$AJ,Dataset!$F:$F,'credito latam'!$D$11,Dataset!$AN:$AN,"AA+",Dataset!$J:$J,"&lt;"&amp;$D69,Dataset!$J:$J,"&gt;="&amp;$C69)+SUMIFS(Dataset!$AJ:$AJ,Dataset!$F:$F,'credito latam'!$D$11,Dataset!$AN:$AN,"AA",Dataset!$J:$J,"&lt;"&amp;$D69,Dataset!$J:$J,"&gt;="&amp;$C69)+SUMIFS(Dataset!$AJ:$AJ,Dataset!$F:$F,'credito latam'!$D$11,Dataset!$AN:$AN,"AA-",Dataset!$J:$J,"&lt;"&amp;$D69,Dataset!$J:$J,"&gt;="&amp;$C69)</f>
        <v>0</v>
      </c>
      <c r="G69" s="83">
        <f>SUMIFS(Dataset!$AJ:$AJ,Dataset!$F:$F,'credito latam'!$D$11,Dataset!$AN:$AN,G$65,Dataset!$J:$J,"&lt;"&amp;$D69,Dataset!$J:$J,"&gt;="&amp;$C69)</f>
        <v>0</v>
      </c>
      <c r="H69" s="83">
        <f>SUMIFS(Dataset!$AJ:$AJ,Dataset!$F:$F,'credito latam'!$D$11,Dataset!$AN:$AN,H$65,Dataset!$J:$J,"&lt;"&amp;$D69,Dataset!$J:$J,"&gt;="&amp;$C69)</f>
        <v>0</v>
      </c>
      <c r="I69" s="83">
        <f>SUMIFS(Dataset!$AJ:$AJ,Dataset!$F:$F,'credito latam'!$D$11,Dataset!$AN:$AN,I$65,Dataset!$J:$J,"&lt;"&amp;$D69,Dataset!$J:$J,"&gt;="&amp;$C69)</f>
        <v>0</v>
      </c>
      <c r="J69" s="83">
        <f>SUMIFS(Dataset!$AJ:$AJ,Dataset!$F:$F,'credito latam'!$D$11,Dataset!$AN:$AN,J$65,Dataset!$J:$J,"&lt;"&amp;$D69,Dataset!$J:$J,"&gt;="&amp;$C69)</f>
        <v>0</v>
      </c>
      <c r="K69" s="83">
        <f>SUMIFS(Dataset!$AJ:$AJ,Dataset!$F:$F,'credito latam'!$D$11,Dataset!$AN:$AN,K$65,Dataset!$J:$J,"&lt;"&amp;$D69,Dataset!$J:$J,"&gt;="&amp;$C69)</f>
        <v>0</v>
      </c>
      <c r="L69" s="83">
        <f>SUMIFS(Dataset!$AJ:$AJ,Dataset!$F:$F,'credito latam'!$D$11,Dataset!$AN:$AN,L$65,Dataset!$J:$J,"&lt;"&amp;$D69,Dataset!$J:$J,"&gt;="&amp;$C69)</f>
        <v>0</v>
      </c>
      <c r="M69" s="83">
        <f>SUMIFS(Dataset!$AJ:$AJ,Dataset!$F:$F,'credito latam'!$D$11,Dataset!$AN:$AN,M$65,Dataset!$J:$J,"&lt;"&amp;$D69,Dataset!$J:$J,"&gt;="&amp;$C69)</f>
        <v>0</v>
      </c>
      <c r="N69" s="83">
        <f>SUMIFS(Dataset!$AJ:$AJ,Dataset!$F:$F,'credito latam'!$D$11,Dataset!$AN:$AN,N$65,Dataset!$J:$J,"&lt;"&amp;$D69,Dataset!$J:$J,"&gt;="&amp;$C69)</f>
        <v>0</v>
      </c>
      <c r="O69" s="83">
        <f>SUMIFS(Dataset!$AJ:$AJ,Dataset!$F:$F,'credito latam'!$D$11,Dataset!$AN:$AN,O$65,Dataset!$J:$J,"&lt;"&amp;$D69,Dataset!$J:$J,"&gt;="&amp;$C69)</f>
        <v>0</v>
      </c>
      <c r="P69" s="83">
        <f>SUMIFS(Dataset!$AJ:$AJ,Dataset!$F:$F,'credito latam'!$D$11,Dataset!$AN:$AN,"B-",Dataset!$J:$J,"&lt;"&amp;$D69,Dataset!$J:$J,"&gt;="&amp;$C69)+SUMIFS(Dataset!$AJ:$AJ,Dataset!$F:$F,'credito latam'!$D$11,Dataset!$AN:$AN,"B",Dataset!$J:$J,"&lt;"&amp;$D69,Dataset!$J:$J,"&gt;="&amp;$C69)+SUMIFS(Dataset!$AJ:$AJ,Dataset!$F:$F,'credito latam'!$D$11,Dataset!$AN:$AN,"B+",Dataset!$J:$J,"&lt;"&amp;$D69,Dataset!$J:$J,"&gt;="&amp;$C69)</f>
        <v>0</v>
      </c>
      <c r="Q69" s="114">
        <f>SUMIFS(Dataset!$AJ:$AJ,Dataset!$F:$F,'credito latam'!$D$11,Dataset!$AN:$AN,Q$65,Dataset!$J:$J,"&lt;"&amp;$D69,Dataset!$J:$J,"&gt;="&amp;$C69)</f>
        <v>0</v>
      </c>
      <c r="R69" s="84">
        <f t="shared" si="7"/>
        <v>0</v>
      </c>
      <c r="S69" s="113">
        <f>SUMIFS(Dataset!$AA:$AA,Dataset!$F:$F,'credito latam'!$D$11,Dataset!$AN:$AN,"*AAA*",Dataset!$J:$J,"&lt;"&amp;$D69,Dataset!$J:$J,"&gt;="&amp;$C69)</f>
        <v>0</v>
      </c>
      <c r="T69" s="83">
        <f>SUMIFS(Dataset!$AA:$AA,Dataset!$F:$F,'credito latam'!$D$11,Dataset!$AN:$AN,"AA+",Dataset!$J:$J,"&lt;"&amp;$D69,Dataset!$J:$J,"&gt;="&amp;$C69)+SUMIFS(Dataset!$AA:$AA,Dataset!$F:$F,'credito latam'!$D$11,Dataset!$AN:$AN,"AA",Dataset!$J:$J,"&lt;"&amp;$D69,Dataset!$J:$J,"&gt;="&amp;$C69)+SUMIFS(Dataset!$AA:$AA,Dataset!$F:$F,'credito latam'!$D$11,Dataset!$AN:$AN,"AA-",Dataset!$J:$J,"&lt;"&amp;$D69,Dataset!$J:$J,"&gt;="&amp;$C69)</f>
        <v>0</v>
      </c>
      <c r="U69" s="83">
        <f>SUMIFS(Dataset!$AA:$AA,Dataset!$F:$F,'credito latam'!$D$11,Dataset!$AN:$AN,U$65,Dataset!$J:$J,"&lt;"&amp;$D69,Dataset!$J:$J,"&gt;="&amp;$C69)</f>
        <v>0</v>
      </c>
      <c r="V69" s="83">
        <f>SUMIFS(Dataset!$AA:$AA,Dataset!$F:$F,'credito latam'!$D$11,Dataset!$AN:$AN,V$65,Dataset!$J:$J,"&lt;"&amp;$D69,Dataset!$J:$J,"&gt;="&amp;$C69)</f>
        <v>0</v>
      </c>
      <c r="W69" s="83">
        <f>SUMIFS(Dataset!$AA:$AA,Dataset!$F:$F,'credito latam'!$D$11,Dataset!$AN:$AN,W$65,Dataset!$J:$J,"&lt;"&amp;$D69,Dataset!$J:$J,"&gt;="&amp;$C69)</f>
        <v>0</v>
      </c>
      <c r="X69" s="83">
        <f>SUMIFS(Dataset!$AA:$AA,Dataset!$F:$F,'credito latam'!$D$11,Dataset!$AN:$AN,X$65,Dataset!$J:$J,"&lt;"&amp;$D69,Dataset!$J:$J,"&gt;="&amp;$C69)</f>
        <v>0</v>
      </c>
      <c r="Y69" s="83">
        <f>SUMIFS(Dataset!$AA:$AA,Dataset!$F:$F,'credito latam'!$D$11,Dataset!$AN:$AN,Y$65,Dataset!$J:$J,"&lt;"&amp;$D69,Dataset!$J:$J,"&gt;="&amp;$C69)</f>
        <v>0</v>
      </c>
      <c r="Z69" s="83">
        <f>SUMIFS(Dataset!$AA:$AA,Dataset!$F:$F,'credito latam'!$D$11,Dataset!$AN:$AN,Z$65,Dataset!$J:$J,"&lt;"&amp;$D69,Dataset!$J:$J,"&gt;="&amp;$C69)</f>
        <v>0</v>
      </c>
      <c r="AA69" s="83">
        <f>SUMIFS(Dataset!$AA:$AA,Dataset!$F:$F,'credito latam'!$D$11,Dataset!$AN:$AN,AA$65,Dataset!$J:$J,"&lt;"&amp;$D69,Dataset!$J:$J,"&gt;="&amp;$C69)</f>
        <v>0</v>
      </c>
      <c r="AB69" s="83">
        <f>SUMIFS(Dataset!$AA:$AA,Dataset!$F:$F,'credito latam'!$D$11,Dataset!$AN:$AN,AB$65,Dataset!$J:$J,"&lt;"&amp;$D69,Dataset!$J:$J,"&gt;="&amp;$C69)</f>
        <v>0</v>
      </c>
      <c r="AC69" s="83">
        <f>SUMIFS(Dataset!$AA:$AA,Dataset!$F:$F,'credito latam'!$D$11,Dataset!$AN:$AN,AC$65,Dataset!$J:$J,"&lt;"&amp;$D69,Dataset!$J:$J,"&gt;="&amp;$C69)</f>
        <v>0</v>
      </c>
      <c r="AD69" s="83">
        <f>SUMIFS(Dataset!$AA:$AA,Dataset!$F:$F,'credito latam'!$D$11,Dataset!$AN:$AN,"B-",Dataset!$J:$J,"&lt;"&amp;$D69,Dataset!$J:$J,"&gt;="&amp;$C69)+SUMIFS(Dataset!$AA:$AA,Dataset!$F:$F,'credito latam'!$D$11,Dataset!$AN:$AN,"B",Dataset!$J:$J,"&lt;"&amp;$D69,Dataset!$J:$J,"&gt;="&amp;$C69)+SUMIFS(Dataset!$AA:$AA,Dataset!$F:$F,'credito latam'!$D$11,Dataset!$AN:$AN,"B+",Dataset!$J:$J,"&lt;"&amp;$D69,Dataset!$J:$J,"&gt;="&amp;$C69)</f>
        <v>0</v>
      </c>
      <c r="AE69" s="114">
        <f>SUMIFS(Dataset!$AA:$AA,Dataset!$F:$F,'credito latam'!$D$11,Dataset!$AN:$AN,AE$65,Dataset!$J:$J,"&lt;"&amp;$D69,Dataset!$J:$J,"&gt;="&amp;$C69)</f>
        <v>0</v>
      </c>
      <c r="AF69" s="84">
        <f t="shared" si="8"/>
        <v>0</v>
      </c>
    </row>
    <row r="70" spans="3:32" ht="27" customHeight="1" x14ac:dyDescent="0.3">
      <c r="C70" s="61">
        <v>3.5</v>
      </c>
      <c r="D70" s="81">
        <v>4.5</v>
      </c>
      <c r="E70" s="113">
        <f>SUMIFS(Dataset!$AJ:$AJ,Dataset!$F:$F,'credito latam'!$D$11,Dataset!$AN:$AN,"*AAA*",Dataset!$J:$J,"&lt;"&amp;$D70,Dataset!$J:$J,"&gt;="&amp;$C70)</f>
        <v>0</v>
      </c>
      <c r="F70" s="101">
        <f>SUMIFS(Dataset!$AJ:$AJ,Dataset!$F:$F,'credito latam'!$D$11,Dataset!$AN:$AN,"AA+",Dataset!$J:$J,"&lt;"&amp;$D70,Dataset!$J:$J,"&gt;="&amp;$C70)+SUMIFS(Dataset!$AJ:$AJ,Dataset!$F:$F,'credito latam'!$D$11,Dataset!$AN:$AN,"AA",Dataset!$J:$J,"&lt;"&amp;$D70,Dataset!$J:$J,"&gt;="&amp;$C70)+SUMIFS(Dataset!$AJ:$AJ,Dataset!$F:$F,'credito latam'!$D$11,Dataset!$AN:$AN,"AA-",Dataset!$J:$J,"&lt;"&amp;$D70,Dataset!$J:$J,"&gt;="&amp;$C70)</f>
        <v>0</v>
      </c>
      <c r="G70" s="101">
        <f>SUMIFS(Dataset!$AJ:$AJ,Dataset!$F:$F,'credito latam'!$D$11,Dataset!$AN:$AN,G$65,Dataset!$J:$J,"&lt;"&amp;$D70,Dataset!$J:$J,"&gt;="&amp;$C70)</f>
        <v>0</v>
      </c>
      <c r="H70" s="101">
        <f>SUMIFS(Dataset!$AJ:$AJ,Dataset!$F:$F,'credito latam'!$D$11,Dataset!$AN:$AN,H$65,Dataset!$J:$J,"&lt;"&amp;$D70,Dataset!$J:$J,"&gt;="&amp;$C70)</f>
        <v>0</v>
      </c>
      <c r="I70" s="101">
        <f>SUMIFS(Dataset!$AJ:$AJ,Dataset!$F:$F,'credito latam'!$D$11,Dataset!$AN:$AN,I$65,Dataset!$J:$J,"&lt;"&amp;$D70,Dataset!$J:$J,"&gt;="&amp;$C70)</f>
        <v>0</v>
      </c>
      <c r="J70" s="101">
        <f>SUMIFS(Dataset!$AJ:$AJ,Dataset!$F:$F,'credito latam'!$D$11,Dataset!$AN:$AN,J$65,Dataset!$J:$J,"&lt;"&amp;$D70,Dataset!$J:$J,"&gt;="&amp;$C70)</f>
        <v>0</v>
      </c>
      <c r="K70" s="101">
        <f>SUMIFS(Dataset!$AJ:$AJ,Dataset!$F:$F,'credito latam'!$D$11,Dataset!$AN:$AN,K$65,Dataset!$J:$J,"&lt;"&amp;$D70,Dataset!$J:$J,"&gt;="&amp;$C70)</f>
        <v>0</v>
      </c>
      <c r="L70" s="101">
        <f>SUMIFS(Dataset!$AJ:$AJ,Dataset!$F:$F,'credito latam'!$D$11,Dataset!$AN:$AN,L$65,Dataset!$J:$J,"&lt;"&amp;$D70,Dataset!$J:$J,"&gt;="&amp;$C70)</f>
        <v>0</v>
      </c>
      <c r="M70" s="101">
        <f>SUMIFS(Dataset!$AJ:$AJ,Dataset!$F:$F,'credito latam'!$D$11,Dataset!$AN:$AN,M$65,Dataset!$J:$J,"&lt;"&amp;$D70,Dataset!$J:$J,"&gt;="&amp;$C70)</f>
        <v>0</v>
      </c>
      <c r="N70" s="101">
        <f>SUMIFS(Dataset!$AJ:$AJ,Dataset!$F:$F,'credito latam'!$D$11,Dataset!$AN:$AN,N$65,Dataset!$J:$J,"&lt;"&amp;$D70,Dataset!$J:$J,"&gt;="&amp;$C70)</f>
        <v>0</v>
      </c>
      <c r="O70" s="101">
        <f>SUMIFS(Dataset!$AJ:$AJ,Dataset!$F:$F,'credito latam'!$D$11,Dataset!$AN:$AN,O$65,Dataset!$J:$J,"&lt;"&amp;$D70,Dataset!$J:$J,"&gt;="&amp;$C70)</f>
        <v>0</v>
      </c>
      <c r="P70" s="101">
        <f>SUMIFS(Dataset!$AJ:$AJ,Dataset!$F:$F,'credito latam'!$D$11,Dataset!$AN:$AN,"B-",Dataset!$J:$J,"&lt;"&amp;$D70,Dataset!$J:$J,"&gt;="&amp;$C70)+SUMIFS(Dataset!$AJ:$AJ,Dataset!$F:$F,'credito latam'!$D$11,Dataset!$AN:$AN,"B",Dataset!$J:$J,"&lt;"&amp;$D70,Dataset!$J:$J,"&gt;="&amp;$C70)+SUMIFS(Dataset!$AJ:$AJ,Dataset!$F:$F,'credito latam'!$D$11,Dataset!$AN:$AN,"B+",Dataset!$J:$J,"&lt;"&amp;$D70,Dataset!$J:$J,"&gt;="&amp;$C70)</f>
        <v>0</v>
      </c>
      <c r="Q70" s="102">
        <f>SUMIFS(Dataset!$AJ:$AJ,Dataset!$F:$F,'credito latam'!$D$11,Dataset!$AN:$AN,Q$65,Dataset!$J:$J,"&lt;"&amp;$D70,Dataset!$J:$J,"&gt;="&amp;$C70)</f>
        <v>0</v>
      </c>
      <c r="R70" s="84">
        <f t="shared" si="7"/>
        <v>0</v>
      </c>
      <c r="S70" s="113">
        <f>SUMIFS(Dataset!$AA:$AA,Dataset!$F:$F,'credito latam'!$D$11,Dataset!$AN:$AN,"*AAA*",Dataset!$J:$J,"&lt;"&amp;$D70,Dataset!$J:$J,"&gt;="&amp;$C70)</f>
        <v>0</v>
      </c>
      <c r="T70" s="101">
        <f>SUMIFS(Dataset!$AA:$AA,Dataset!$F:$F,'credito latam'!$D$11,Dataset!$AN:$AN,"AA+",Dataset!$J:$J,"&lt;"&amp;$D70,Dataset!$J:$J,"&gt;="&amp;$C70)+SUMIFS(Dataset!$AA:$AA,Dataset!$F:$F,'credito latam'!$D$11,Dataset!$AN:$AN,"AA",Dataset!$J:$J,"&lt;"&amp;$D70,Dataset!$J:$J,"&gt;="&amp;$C70)+SUMIFS(Dataset!$AA:$AA,Dataset!$F:$F,'credito latam'!$D$11,Dataset!$AN:$AN,"AA-",Dataset!$J:$J,"&lt;"&amp;$D70,Dataset!$J:$J,"&gt;="&amp;$C70)</f>
        <v>0</v>
      </c>
      <c r="U70" s="101">
        <f>SUMIFS(Dataset!$AA:$AA,Dataset!$F:$F,'credito latam'!$D$11,Dataset!$AN:$AN,U$65,Dataset!$J:$J,"&lt;"&amp;$D70,Dataset!$J:$J,"&gt;="&amp;$C70)</f>
        <v>0</v>
      </c>
      <c r="V70" s="101">
        <f>SUMIFS(Dataset!$AA:$AA,Dataset!$F:$F,'credito latam'!$D$11,Dataset!$AN:$AN,V$65,Dataset!$J:$J,"&lt;"&amp;$D70,Dataset!$J:$J,"&gt;="&amp;$C70)</f>
        <v>0</v>
      </c>
      <c r="W70" s="101">
        <f>SUMIFS(Dataset!$AA:$AA,Dataset!$F:$F,'credito latam'!$D$11,Dataset!$AN:$AN,W$65,Dataset!$J:$J,"&lt;"&amp;$D70,Dataset!$J:$J,"&gt;="&amp;$C70)</f>
        <v>0</v>
      </c>
      <c r="X70" s="101">
        <f>SUMIFS(Dataset!$AA:$AA,Dataset!$F:$F,'credito latam'!$D$11,Dataset!$AN:$AN,X$65,Dataset!$J:$J,"&lt;"&amp;$D70,Dataset!$J:$J,"&gt;="&amp;$C70)</f>
        <v>0</v>
      </c>
      <c r="Y70" s="101">
        <f>SUMIFS(Dataset!$AA:$AA,Dataset!$F:$F,'credito latam'!$D$11,Dataset!$AN:$AN,Y$65,Dataset!$J:$J,"&lt;"&amp;$D70,Dataset!$J:$J,"&gt;="&amp;$C70)</f>
        <v>0</v>
      </c>
      <c r="Z70" s="101">
        <f>SUMIFS(Dataset!$AA:$AA,Dataset!$F:$F,'credito latam'!$D$11,Dataset!$AN:$AN,Z$65,Dataset!$J:$J,"&lt;"&amp;$D70,Dataset!$J:$J,"&gt;="&amp;$C70)</f>
        <v>0</v>
      </c>
      <c r="AA70" s="101">
        <f>SUMIFS(Dataset!$AA:$AA,Dataset!$F:$F,'credito latam'!$D$11,Dataset!$AN:$AN,AA$65,Dataset!$J:$J,"&lt;"&amp;$D70,Dataset!$J:$J,"&gt;="&amp;$C70)</f>
        <v>0</v>
      </c>
      <c r="AB70" s="101">
        <f>SUMIFS(Dataset!$AA:$AA,Dataset!$F:$F,'credito latam'!$D$11,Dataset!$AN:$AN,AB$65,Dataset!$J:$J,"&lt;"&amp;$D70,Dataset!$J:$J,"&gt;="&amp;$C70)</f>
        <v>0</v>
      </c>
      <c r="AC70" s="101">
        <f>SUMIFS(Dataset!$AA:$AA,Dataset!$F:$F,'credito latam'!$D$11,Dataset!$AN:$AN,AC$65,Dataset!$J:$J,"&lt;"&amp;$D70,Dataset!$J:$J,"&gt;="&amp;$C70)</f>
        <v>0</v>
      </c>
      <c r="AD70" s="101">
        <f>SUMIFS(Dataset!$AA:$AA,Dataset!$F:$F,'credito latam'!$D$11,Dataset!$AN:$AN,"B-",Dataset!$J:$J,"&lt;"&amp;$D70,Dataset!$J:$J,"&gt;="&amp;$C70)+SUMIFS(Dataset!$AA:$AA,Dataset!$F:$F,'credito latam'!$D$11,Dataset!$AN:$AN,"B",Dataset!$J:$J,"&lt;"&amp;$D70,Dataset!$J:$J,"&gt;="&amp;$C70)+SUMIFS(Dataset!$AA:$AA,Dataset!$F:$F,'credito latam'!$D$11,Dataset!$AN:$AN,"B+",Dataset!$J:$J,"&lt;"&amp;$D70,Dataset!$J:$J,"&gt;="&amp;$C70)</f>
        <v>0</v>
      </c>
      <c r="AE70" s="102">
        <f>SUMIFS(Dataset!$AA:$AA,Dataset!$F:$F,'credito latam'!$D$11,Dataset!$AN:$AN,AE$65,Dataset!$J:$J,"&lt;"&amp;$D70,Dataset!$J:$J,"&gt;="&amp;$C70)</f>
        <v>0</v>
      </c>
      <c r="AF70" s="84">
        <f t="shared" si="8"/>
        <v>0</v>
      </c>
    </row>
    <row r="71" spans="3:32" ht="33" customHeight="1" x14ac:dyDescent="0.3">
      <c r="C71" s="61">
        <v>4.5</v>
      </c>
      <c r="D71" s="81">
        <v>5.5</v>
      </c>
      <c r="E71" s="113">
        <f>SUMIFS(Dataset!$AJ:$AJ,Dataset!$F:$F,'credito latam'!$D$11,Dataset!$AN:$AN,"*AAA*",Dataset!$J:$J,"&lt;"&amp;$D71,Dataset!$J:$J,"&gt;="&amp;$C71)</f>
        <v>0</v>
      </c>
      <c r="F71" s="83">
        <f>SUMIFS(Dataset!$AJ:$AJ,Dataset!$F:$F,'credito latam'!$D$11,Dataset!$AN:$AN,"AA+",Dataset!$J:$J,"&lt;"&amp;$D71,Dataset!$J:$J,"&gt;="&amp;$C71)+SUMIFS(Dataset!$AJ:$AJ,Dataset!$F:$F,'credito latam'!$D$11,Dataset!$AN:$AN,"AA",Dataset!$J:$J,"&lt;"&amp;$D71,Dataset!$J:$J,"&gt;="&amp;$C71)+SUMIFS(Dataset!$AJ:$AJ,Dataset!$F:$F,'credito latam'!$D$11,Dataset!$AN:$AN,"AA-",Dataset!$J:$J,"&lt;"&amp;$D71,Dataset!$J:$J,"&gt;="&amp;$C71)</f>
        <v>0</v>
      </c>
      <c r="G71" s="83">
        <f>SUMIFS(Dataset!$AJ:$AJ,Dataset!$F:$F,'credito latam'!$D$11,Dataset!$AN:$AN,G$65,Dataset!$J:$J,"&lt;"&amp;$D71,Dataset!$J:$J,"&gt;="&amp;$C71)</f>
        <v>0</v>
      </c>
      <c r="H71" s="83">
        <f>SUMIFS(Dataset!$AJ:$AJ,Dataset!$F:$F,'credito latam'!$D$11,Dataset!$AN:$AN,H$65,Dataset!$J:$J,"&lt;"&amp;$D71,Dataset!$J:$J,"&gt;="&amp;$C71)</f>
        <v>0</v>
      </c>
      <c r="I71" s="83">
        <f>SUMIFS(Dataset!$AJ:$AJ,Dataset!$F:$F,'credito latam'!$D$11,Dataset!$AN:$AN,I$65,Dataset!$J:$J,"&lt;"&amp;$D71,Dataset!$J:$J,"&gt;="&amp;$C71)</f>
        <v>0</v>
      </c>
      <c r="J71" s="83">
        <f>SUMIFS(Dataset!$AJ:$AJ,Dataset!$F:$F,'credito latam'!$D$11,Dataset!$AN:$AN,J$65,Dataset!$J:$J,"&lt;"&amp;$D71,Dataset!$J:$J,"&gt;="&amp;$C71)</f>
        <v>0</v>
      </c>
      <c r="K71" s="83">
        <f>SUMIFS(Dataset!$AJ:$AJ,Dataset!$F:$F,'credito latam'!$D$11,Dataset!$AN:$AN,K$65,Dataset!$J:$J,"&lt;"&amp;$D71,Dataset!$J:$J,"&gt;="&amp;$C71)</f>
        <v>0</v>
      </c>
      <c r="L71" s="83">
        <f>SUMIFS(Dataset!$AJ:$AJ,Dataset!$F:$F,'credito latam'!$D$11,Dataset!$AN:$AN,L$65,Dataset!$J:$J,"&lt;"&amp;$D71,Dataset!$J:$J,"&gt;="&amp;$C71)</f>
        <v>0</v>
      </c>
      <c r="M71" s="83">
        <f>SUMIFS(Dataset!$AJ:$AJ,Dataset!$F:$F,'credito latam'!$D$11,Dataset!$AN:$AN,M$65,Dataset!$J:$J,"&lt;"&amp;$D71,Dataset!$J:$J,"&gt;="&amp;$C71)</f>
        <v>0</v>
      </c>
      <c r="N71" s="83">
        <f>SUMIFS(Dataset!$AJ:$AJ,Dataset!$F:$F,'credito latam'!$D$11,Dataset!$AN:$AN,N$65,Dataset!$J:$J,"&lt;"&amp;$D71,Dataset!$J:$J,"&gt;="&amp;$C71)</f>
        <v>0</v>
      </c>
      <c r="O71" s="83">
        <f>SUMIFS(Dataset!$AJ:$AJ,Dataset!$F:$F,'credito latam'!$D$11,Dataset!$AN:$AN,O$65,Dataset!$J:$J,"&lt;"&amp;$D71,Dataset!$J:$J,"&gt;="&amp;$C71)</f>
        <v>0</v>
      </c>
      <c r="P71" s="83">
        <f>SUMIFS(Dataset!$AJ:$AJ,Dataset!$F:$F,'credito latam'!$D$11,Dataset!$AN:$AN,"B-",Dataset!$J:$J,"&lt;"&amp;$D71,Dataset!$J:$J,"&gt;="&amp;$C71)+SUMIFS(Dataset!$AJ:$AJ,Dataset!$F:$F,'credito latam'!$D$11,Dataset!$AN:$AN,"B",Dataset!$J:$J,"&lt;"&amp;$D71,Dataset!$J:$J,"&gt;="&amp;$C71)+SUMIFS(Dataset!$AJ:$AJ,Dataset!$F:$F,'credito latam'!$D$11,Dataset!$AN:$AN,"B+",Dataset!$J:$J,"&lt;"&amp;$D71,Dataset!$J:$J,"&gt;="&amp;$C71)</f>
        <v>0</v>
      </c>
      <c r="Q71" s="114">
        <f>SUMIFS(Dataset!$AJ:$AJ,Dataset!$F:$F,'credito latam'!$D$11,Dataset!$AN:$AN,Q$65,Dataset!$J:$J,"&lt;"&amp;$D71,Dataset!$J:$J,"&gt;="&amp;$C71)</f>
        <v>0</v>
      </c>
      <c r="R71" s="84">
        <f t="shared" si="7"/>
        <v>0</v>
      </c>
      <c r="S71" s="113">
        <f>SUMIFS(Dataset!$AA:$AA,Dataset!$F:$F,'credito latam'!$D$11,Dataset!$AN:$AN,"*AAA*",Dataset!$J:$J,"&lt;"&amp;$D71,Dataset!$J:$J,"&gt;="&amp;$C71)</f>
        <v>0</v>
      </c>
      <c r="T71" s="83">
        <f>SUMIFS(Dataset!$AA:$AA,Dataset!$F:$F,'credito latam'!$D$11,Dataset!$AN:$AN,"AA+",Dataset!$J:$J,"&lt;"&amp;$D71,Dataset!$J:$J,"&gt;="&amp;$C71)+SUMIFS(Dataset!$AA:$AA,Dataset!$F:$F,'credito latam'!$D$11,Dataset!$AN:$AN,"AA",Dataset!$J:$J,"&lt;"&amp;$D71,Dataset!$J:$J,"&gt;="&amp;$C71)+SUMIFS(Dataset!$AA:$AA,Dataset!$F:$F,'credito latam'!$D$11,Dataset!$AN:$AN,"AA-",Dataset!$J:$J,"&lt;"&amp;$D71,Dataset!$J:$J,"&gt;="&amp;$C71)</f>
        <v>0</v>
      </c>
      <c r="U71" s="83">
        <f>SUMIFS(Dataset!$AA:$AA,Dataset!$F:$F,'credito latam'!$D$11,Dataset!$AN:$AN,U$65,Dataset!$J:$J,"&lt;"&amp;$D71,Dataset!$J:$J,"&gt;="&amp;$C71)</f>
        <v>0</v>
      </c>
      <c r="V71" s="83">
        <f>SUMIFS(Dataset!$AA:$AA,Dataset!$F:$F,'credito latam'!$D$11,Dataset!$AN:$AN,V$65,Dataset!$J:$J,"&lt;"&amp;$D71,Dataset!$J:$J,"&gt;="&amp;$C71)</f>
        <v>0</v>
      </c>
      <c r="W71" s="83">
        <f>SUMIFS(Dataset!$AA:$AA,Dataset!$F:$F,'credito latam'!$D$11,Dataset!$AN:$AN,W$65,Dataset!$J:$J,"&lt;"&amp;$D71,Dataset!$J:$J,"&gt;="&amp;$C71)</f>
        <v>0</v>
      </c>
      <c r="X71" s="83">
        <f>SUMIFS(Dataset!$AA:$AA,Dataset!$F:$F,'credito latam'!$D$11,Dataset!$AN:$AN,X$65,Dataset!$J:$J,"&lt;"&amp;$D71,Dataset!$J:$J,"&gt;="&amp;$C71)</f>
        <v>0</v>
      </c>
      <c r="Y71" s="83">
        <f>SUMIFS(Dataset!$AA:$AA,Dataset!$F:$F,'credito latam'!$D$11,Dataset!$AN:$AN,Y$65,Dataset!$J:$J,"&lt;"&amp;$D71,Dataset!$J:$J,"&gt;="&amp;$C71)</f>
        <v>0</v>
      </c>
      <c r="Z71" s="83">
        <f>SUMIFS(Dataset!$AA:$AA,Dataset!$F:$F,'credito latam'!$D$11,Dataset!$AN:$AN,Z$65,Dataset!$J:$J,"&lt;"&amp;$D71,Dataset!$J:$J,"&gt;="&amp;$C71)</f>
        <v>0</v>
      </c>
      <c r="AA71" s="83">
        <f>SUMIFS(Dataset!$AA:$AA,Dataset!$F:$F,'credito latam'!$D$11,Dataset!$AN:$AN,AA$65,Dataset!$J:$J,"&lt;"&amp;$D71,Dataset!$J:$J,"&gt;="&amp;$C71)</f>
        <v>0</v>
      </c>
      <c r="AB71" s="83">
        <f>SUMIFS(Dataset!$AA:$AA,Dataset!$F:$F,'credito latam'!$D$11,Dataset!$AN:$AN,AB$65,Dataset!$J:$J,"&lt;"&amp;$D71,Dataset!$J:$J,"&gt;="&amp;$C71)</f>
        <v>0</v>
      </c>
      <c r="AC71" s="83">
        <f>SUMIFS(Dataset!$AA:$AA,Dataset!$F:$F,'credito latam'!$D$11,Dataset!$AN:$AN,AC$65,Dataset!$J:$J,"&lt;"&amp;$D71,Dataset!$J:$J,"&gt;="&amp;$C71)</f>
        <v>0</v>
      </c>
      <c r="AD71" s="83">
        <f>SUMIFS(Dataset!$AA:$AA,Dataset!$F:$F,'credito latam'!$D$11,Dataset!$AN:$AN,"B-",Dataset!$J:$J,"&lt;"&amp;$D71,Dataset!$J:$J,"&gt;="&amp;$C71)+SUMIFS(Dataset!$AA:$AA,Dataset!$F:$F,'credito latam'!$D$11,Dataset!$AN:$AN,"B",Dataset!$J:$J,"&lt;"&amp;$D71,Dataset!$J:$J,"&gt;="&amp;$C71)+SUMIFS(Dataset!$AA:$AA,Dataset!$F:$F,'credito latam'!$D$11,Dataset!$AN:$AN,"B+",Dataset!$J:$J,"&lt;"&amp;$D71,Dataset!$J:$J,"&gt;="&amp;$C71)</f>
        <v>0</v>
      </c>
      <c r="AE71" s="114">
        <f>SUMIFS(Dataset!$AA:$AA,Dataset!$F:$F,'credito latam'!$D$11,Dataset!$AN:$AN,AE$65,Dataset!$J:$J,"&lt;"&amp;$D71,Dataset!$J:$J,"&gt;="&amp;$C71)</f>
        <v>0</v>
      </c>
      <c r="AF71" s="84">
        <f t="shared" si="8"/>
        <v>0</v>
      </c>
    </row>
    <row r="72" spans="3:32" ht="33" customHeight="1" x14ac:dyDescent="0.3">
      <c r="C72" s="61">
        <v>5.5</v>
      </c>
      <c r="D72" s="81">
        <v>6.5</v>
      </c>
      <c r="E72" s="113">
        <f>SUMIFS(Dataset!$AJ:$AJ,Dataset!$F:$F,'credito latam'!$D$11,Dataset!$AN:$AN,"*AAA*",Dataset!$J:$J,"&lt;"&amp;$D72,Dataset!$J:$J,"&gt;="&amp;$C72)</f>
        <v>0</v>
      </c>
      <c r="F72" s="101">
        <f>SUMIFS(Dataset!$AJ:$AJ,Dataset!$F:$F,'credito latam'!$D$11,Dataset!$AN:$AN,"AA+",Dataset!$J:$J,"&lt;"&amp;$D72,Dataset!$J:$J,"&gt;="&amp;$C72)+SUMIFS(Dataset!$AJ:$AJ,Dataset!$F:$F,'credito latam'!$D$11,Dataset!$AN:$AN,"AA",Dataset!$J:$J,"&lt;"&amp;$D72,Dataset!$J:$J,"&gt;="&amp;$C72)+SUMIFS(Dataset!$AJ:$AJ,Dataset!$F:$F,'credito latam'!$D$11,Dataset!$AN:$AN,"AA-",Dataset!$J:$J,"&lt;"&amp;$D72,Dataset!$J:$J,"&gt;="&amp;$C72)</f>
        <v>0</v>
      </c>
      <c r="G72" s="101">
        <f>SUMIFS(Dataset!$AJ:$AJ,Dataset!$F:$F,'credito latam'!$D$11,Dataset!$AN:$AN,G$65,Dataset!$J:$J,"&lt;"&amp;$D72,Dataset!$J:$J,"&gt;="&amp;$C72)</f>
        <v>0</v>
      </c>
      <c r="H72" s="101">
        <f>SUMIFS(Dataset!$AJ:$AJ,Dataset!$F:$F,'credito latam'!$D$11,Dataset!$AN:$AN,H$65,Dataset!$J:$J,"&lt;"&amp;$D72,Dataset!$J:$J,"&gt;="&amp;$C72)</f>
        <v>0</v>
      </c>
      <c r="I72" s="101">
        <f>SUMIFS(Dataset!$AJ:$AJ,Dataset!$F:$F,'credito latam'!$D$11,Dataset!$AN:$AN,I$65,Dataset!$J:$J,"&lt;"&amp;$D72,Dataset!$J:$J,"&gt;="&amp;$C72)</f>
        <v>0</v>
      </c>
      <c r="J72" s="101">
        <f>SUMIFS(Dataset!$AJ:$AJ,Dataset!$F:$F,'credito latam'!$D$11,Dataset!$AN:$AN,J$65,Dataset!$J:$J,"&lt;"&amp;$D72,Dataset!$J:$J,"&gt;="&amp;$C72)</f>
        <v>0</v>
      </c>
      <c r="K72" s="101">
        <f>SUMIFS(Dataset!$AJ:$AJ,Dataset!$F:$F,'credito latam'!$D$11,Dataset!$AN:$AN,K$65,Dataset!$J:$J,"&lt;"&amp;$D72,Dataset!$J:$J,"&gt;="&amp;$C72)</f>
        <v>0</v>
      </c>
      <c r="L72" s="101">
        <f>SUMIFS(Dataset!$AJ:$AJ,Dataset!$F:$F,'credito latam'!$D$11,Dataset!$AN:$AN,L$65,Dataset!$J:$J,"&lt;"&amp;$D72,Dataset!$J:$J,"&gt;="&amp;$C72)</f>
        <v>0</v>
      </c>
      <c r="M72" s="101">
        <f>SUMIFS(Dataset!$AJ:$AJ,Dataset!$F:$F,'credito latam'!$D$11,Dataset!$AN:$AN,M$65,Dataset!$J:$J,"&lt;"&amp;$D72,Dataset!$J:$J,"&gt;="&amp;$C72)</f>
        <v>0</v>
      </c>
      <c r="N72" s="101">
        <f>SUMIFS(Dataset!$AJ:$AJ,Dataset!$F:$F,'credito latam'!$D$11,Dataset!$AN:$AN,N$65,Dataset!$J:$J,"&lt;"&amp;$D72,Dataset!$J:$J,"&gt;="&amp;$C72)</f>
        <v>0</v>
      </c>
      <c r="O72" s="101">
        <f>SUMIFS(Dataset!$AJ:$AJ,Dataset!$F:$F,'credito latam'!$D$11,Dataset!$AN:$AN,O$65,Dataset!$J:$J,"&lt;"&amp;$D72,Dataset!$J:$J,"&gt;="&amp;$C72)</f>
        <v>0</v>
      </c>
      <c r="P72" s="101">
        <f>SUMIFS(Dataset!$AJ:$AJ,Dataset!$F:$F,'credito latam'!$D$11,Dataset!$AN:$AN,"B-",Dataset!$J:$J,"&lt;"&amp;$D72,Dataset!$J:$J,"&gt;="&amp;$C72)+SUMIFS(Dataset!$AJ:$AJ,Dataset!$F:$F,'credito latam'!$D$11,Dataset!$AN:$AN,"B",Dataset!$J:$J,"&lt;"&amp;$D72,Dataset!$J:$J,"&gt;="&amp;$C72)+SUMIFS(Dataset!$AJ:$AJ,Dataset!$F:$F,'credito latam'!$D$11,Dataset!$AN:$AN,"B+",Dataset!$J:$J,"&lt;"&amp;$D72,Dataset!$J:$J,"&gt;="&amp;$C72)</f>
        <v>0</v>
      </c>
      <c r="Q72" s="102">
        <f>SUMIFS(Dataset!$AJ:$AJ,Dataset!$F:$F,'credito latam'!$D$11,Dataset!$AN:$AN,Q$65,Dataset!$J:$J,"&lt;"&amp;$D72,Dataset!$J:$J,"&gt;="&amp;$C72)</f>
        <v>0</v>
      </c>
      <c r="R72" s="84">
        <f t="shared" si="7"/>
        <v>0</v>
      </c>
      <c r="S72" s="113">
        <f>SUMIFS(Dataset!$AA:$AA,Dataset!$F:$F,'credito latam'!$D$11,Dataset!$AN:$AN,"*AAA*",Dataset!$J:$J,"&lt;"&amp;$D72,Dataset!$J:$J,"&gt;="&amp;$C72)</f>
        <v>0</v>
      </c>
      <c r="T72" s="101">
        <f>SUMIFS(Dataset!$AA:$AA,Dataset!$F:$F,'credito latam'!$D$11,Dataset!$AN:$AN,"AA+",Dataset!$J:$J,"&lt;"&amp;$D72,Dataset!$J:$J,"&gt;="&amp;$C72)+SUMIFS(Dataset!$AA:$AA,Dataset!$F:$F,'credito latam'!$D$11,Dataset!$AN:$AN,"AA",Dataset!$J:$J,"&lt;"&amp;$D72,Dataset!$J:$J,"&gt;="&amp;$C72)+SUMIFS(Dataset!$AA:$AA,Dataset!$F:$F,'credito latam'!$D$11,Dataset!$AN:$AN,"AA-",Dataset!$J:$J,"&lt;"&amp;$D72,Dataset!$J:$J,"&gt;="&amp;$C72)</f>
        <v>0</v>
      </c>
      <c r="U72" s="101">
        <f>SUMIFS(Dataset!$AA:$AA,Dataset!$F:$F,'credito latam'!$D$11,Dataset!$AN:$AN,U$65,Dataset!$J:$J,"&lt;"&amp;$D72,Dataset!$J:$J,"&gt;="&amp;$C72)</f>
        <v>0</v>
      </c>
      <c r="V72" s="101">
        <f>SUMIFS(Dataset!$AA:$AA,Dataset!$F:$F,'credito latam'!$D$11,Dataset!$AN:$AN,V$65,Dataset!$J:$J,"&lt;"&amp;$D72,Dataset!$J:$J,"&gt;="&amp;$C72)</f>
        <v>0</v>
      </c>
      <c r="W72" s="101">
        <f>SUMIFS(Dataset!$AA:$AA,Dataset!$F:$F,'credito latam'!$D$11,Dataset!$AN:$AN,W$65,Dataset!$J:$J,"&lt;"&amp;$D72,Dataset!$J:$J,"&gt;="&amp;$C72)</f>
        <v>0</v>
      </c>
      <c r="X72" s="101">
        <f>SUMIFS(Dataset!$AA:$AA,Dataset!$F:$F,'credito latam'!$D$11,Dataset!$AN:$AN,X$65,Dataset!$J:$J,"&lt;"&amp;$D72,Dataset!$J:$J,"&gt;="&amp;$C72)</f>
        <v>0</v>
      </c>
      <c r="Y72" s="101">
        <f>SUMIFS(Dataset!$AA:$AA,Dataset!$F:$F,'credito latam'!$D$11,Dataset!$AN:$AN,Y$65,Dataset!$J:$J,"&lt;"&amp;$D72,Dataset!$J:$J,"&gt;="&amp;$C72)</f>
        <v>0</v>
      </c>
      <c r="Z72" s="101">
        <f>SUMIFS(Dataset!$AA:$AA,Dataset!$F:$F,'credito latam'!$D$11,Dataset!$AN:$AN,Z$65,Dataset!$J:$J,"&lt;"&amp;$D72,Dataset!$J:$J,"&gt;="&amp;$C72)</f>
        <v>0</v>
      </c>
      <c r="AA72" s="101">
        <f>SUMIFS(Dataset!$AA:$AA,Dataset!$F:$F,'credito latam'!$D$11,Dataset!$AN:$AN,AA$65,Dataset!$J:$J,"&lt;"&amp;$D72,Dataset!$J:$J,"&gt;="&amp;$C72)</f>
        <v>0</v>
      </c>
      <c r="AB72" s="101">
        <f>SUMIFS(Dataset!$AA:$AA,Dataset!$F:$F,'credito latam'!$D$11,Dataset!$AN:$AN,AB$65,Dataset!$J:$J,"&lt;"&amp;$D72,Dataset!$J:$J,"&gt;="&amp;$C72)</f>
        <v>0</v>
      </c>
      <c r="AC72" s="101">
        <f>SUMIFS(Dataset!$AA:$AA,Dataset!$F:$F,'credito latam'!$D$11,Dataset!$AN:$AN,AC$65,Dataset!$J:$J,"&lt;"&amp;$D72,Dataset!$J:$J,"&gt;="&amp;$C72)</f>
        <v>0</v>
      </c>
      <c r="AD72" s="101">
        <f>SUMIFS(Dataset!$AA:$AA,Dataset!$F:$F,'credito latam'!$D$11,Dataset!$AN:$AN,"B-",Dataset!$J:$J,"&lt;"&amp;$D72,Dataset!$J:$J,"&gt;="&amp;$C72)+SUMIFS(Dataset!$AA:$AA,Dataset!$F:$F,'credito latam'!$D$11,Dataset!$AN:$AN,"B",Dataset!$J:$J,"&lt;"&amp;$D72,Dataset!$J:$J,"&gt;="&amp;$C72)+SUMIFS(Dataset!$AA:$AA,Dataset!$F:$F,'credito latam'!$D$11,Dataset!$AN:$AN,"B+",Dataset!$J:$J,"&lt;"&amp;$D72,Dataset!$J:$J,"&gt;="&amp;$C72)</f>
        <v>0</v>
      </c>
      <c r="AE72" s="102">
        <f>SUMIFS(Dataset!$AA:$AA,Dataset!$F:$F,'credito latam'!$D$11,Dataset!$AN:$AN,AE$65,Dataset!$J:$J,"&lt;"&amp;$D72,Dataset!$J:$J,"&gt;="&amp;$C72)</f>
        <v>0</v>
      </c>
      <c r="AF72" s="84">
        <f t="shared" si="8"/>
        <v>0</v>
      </c>
    </row>
    <row r="73" spans="3:32" ht="33" customHeight="1" x14ac:dyDescent="0.3">
      <c r="C73" s="61">
        <v>6.5</v>
      </c>
      <c r="D73" s="81">
        <v>7.5</v>
      </c>
      <c r="E73" s="113">
        <f>SUMIFS(Dataset!$AJ:$AJ,Dataset!$F:$F,'credito latam'!$D$11,Dataset!$AN:$AN,"*AAA*",Dataset!$J:$J,"&lt;"&amp;$D73,Dataset!$J:$J,"&gt;="&amp;$C73)</f>
        <v>0</v>
      </c>
      <c r="F73" s="83">
        <f>SUMIFS(Dataset!$AJ:$AJ,Dataset!$F:$F,'credito latam'!$D$11,Dataset!$AN:$AN,"AA+",Dataset!$J:$J,"&lt;"&amp;$D73,Dataset!$J:$J,"&gt;="&amp;$C73)+SUMIFS(Dataset!$AJ:$AJ,Dataset!$F:$F,'credito latam'!$D$11,Dataset!$AN:$AN,"AA",Dataset!$J:$J,"&lt;"&amp;$D73,Dataset!$J:$J,"&gt;="&amp;$C73)+SUMIFS(Dataset!$AJ:$AJ,Dataset!$F:$F,'credito latam'!$D$11,Dataset!$AN:$AN,"AA-",Dataset!$J:$J,"&lt;"&amp;$D73,Dataset!$J:$J,"&gt;="&amp;$C73)</f>
        <v>0</v>
      </c>
      <c r="G73" s="83">
        <f>SUMIFS(Dataset!$AJ:$AJ,Dataset!$F:$F,'credito latam'!$D$11,Dataset!$AN:$AN,G$65,Dataset!$J:$J,"&lt;"&amp;$D73,Dataset!$J:$J,"&gt;="&amp;$C73)</f>
        <v>0</v>
      </c>
      <c r="H73" s="83">
        <f>SUMIFS(Dataset!$AJ:$AJ,Dataset!$F:$F,'credito latam'!$D$11,Dataset!$AN:$AN,H$65,Dataset!$J:$J,"&lt;"&amp;$D73,Dataset!$J:$J,"&gt;="&amp;$C73)</f>
        <v>0</v>
      </c>
      <c r="I73" s="83">
        <f>SUMIFS(Dataset!$AJ:$AJ,Dataset!$F:$F,'credito latam'!$D$11,Dataset!$AN:$AN,I$65,Dataset!$J:$J,"&lt;"&amp;$D73,Dataset!$J:$J,"&gt;="&amp;$C73)</f>
        <v>0</v>
      </c>
      <c r="J73" s="83">
        <f>SUMIFS(Dataset!$AJ:$AJ,Dataset!$F:$F,'credito latam'!$D$11,Dataset!$AN:$AN,J$65,Dataset!$J:$J,"&lt;"&amp;$D73,Dataset!$J:$J,"&gt;="&amp;$C73)</f>
        <v>0</v>
      </c>
      <c r="K73" s="83">
        <f>SUMIFS(Dataset!$AJ:$AJ,Dataset!$F:$F,'credito latam'!$D$11,Dataset!$AN:$AN,K$65,Dataset!$J:$J,"&lt;"&amp;$D73,Dataset!$J:$J,"&gt;="&amp;$C73)</f>
        <v>0</v>
      </c>
      <c r="L73" s="83">
        <f>SUMIFS(Dataset!$AJ:$AJ,Dataset!$F:$F,'credito latam'!$D$11,Dataset!$AN:$AN,L$65,Dataset!$J:$J,"&lt;"&amp;$D73,Dataset!$J:$J,"&gt;="&amp;$C73)</f>
        <v>0</v>
      </c>
      <c r="M73" s="83">
        <f>SUMIFS(Dataset!$AJ:$AJ,Dataset!$F:$F,'credito latam'!$D$11,Dataset!$AN:$AN,M$65,Dataset!$J:$J,"&lt;"&amp;$D73,Dataset!$J:$J,"&gt;="&amp;$C73)</f>
        <v>0</v>
      </c>
      <c r="N73" s="83">
        <f>SUMIFS(Dataset!$AJ:$AJ,Dataset!$F:$F,'credito latam'!$D$11,Dataset!$AN:$AN,N$65,Dataset!$J:$J,"&lt;"&amp;$D73,Dataset!$J:$J,"&gt;="&amp;$C73)</f>
        <v>0</v>
      </c>
      <c r="O73" s="83">
        <f>SUMIFS(Dataset!$AJ:$AJ,Dataset!$F:$F,'credito latam'!$D$11,Dataset!$AN:$AN,O$65,Dataset!$J:$J,"&lt;"&amp;$D73,Dataset!$J:$J,"&gt;="&amp;$C73)</f>
        <v>0</v>
      </c>
      <c r="P73" s="83">
        <f>SUMIFS(Dataset!$AJ:$AJ,Dataset!$F:$F,'credito latam'!$D$11,Dataset!$AN:$AN,"B-",Dataset!$J:$J,"&lt;"&amp;$D73,Dataset!$J:$J,"&gt;="&amp;$C73)+SUMIFS(Dataset!$AJ:$AJ,Dataset!$F:$F,'credito latam'!$D$11,Dataset!$AN:$AN,"B",Dataset!$J:$J,"&lt;"&amp;$D73,Dataset!$J:$J,"&gt;="&amp;$C73)+SUMIFS(Dataset!$AJ:$AJ,Dataset!$F:$F,'credito latam'!$D$11,Dataset!$AN:$AN,"B+",Dataset!$J:$J,"&lt;"&amp;$D73,Dataset!$J:$J,"&gt;="&amp;$C73)</f>
        <v>0</v>
      </c>
      <c r="Q73" s="114">
        <f>SUMIFS(Dataset!$AJ:$AJ,Dataset!$F:$F,'credito latam'!$D$11,Dataset!$AN:$AN,Q$65,Dataset!$J:$J,"&lt;"&amp;$D73,Dataset!$J:$J,"&gt;="&amp;$C73)</f>
        <v>0</v>
      </c>
      <c r="R73" s="84">
        <f t="shared" si="7"/>
        <v>0</v>
      </c>
      <c r="S73" s="113">
        <f>SUMIFS(Dataset!$AA:$AA,Dataset!$F:$F,'credito latam'!$D$11,Dataset!$AN:$AN,"*AAA*",Dataset!$J:$J,"&lt;"&amp;$D73,Dataset!$J:$J,"&gt;="&amp;$C73)</f>
        <v>0</v>
      </c>
      <c r="T73" s="83">
        <f>SUMIFS(Dataset!$AA:$AA,Dataset!$F:$F,'credito latam'!$D$11,Dataset!$AN:$AN,"AA+",Dataset!$J:$J,"&lt;"&amp;$D73,Dataset!$J:$J,"&gt;="&amp;$C73)+SUMIFS(Dataset!$AA:$AA,Dataset!$F:$F,'credito latam'!$D$11,Dataset!$AN:$AN,"AA",Dataset!$J:$J,"&lt;"&amp;$D73,Dataset!$J:$J,"&gt;="&amp;$C73)+SUMIFS(Dataset!$AA:$AA,Dataset!$F:$F,'credito latam'!$D$11,Dataset!$AN:$AN,"AA-",Dataset!$J:$J,"&lt;"&amp;$D73,Dataset!$J:$J,"&gt;="&amp;$C73)</f>
        <v>0</v>
      </c>
      <c r="U73" s="83">
        <f>SUMIFS(Dataset!$AA:$AA,Dataset!$F:$F,'credito latam'!$D$11,Dataset!$AN:$AN,U$65,Dataset!$J:$J,"&lt;"&amp;$D73,Dataset!$J:$J,"&gt;="&amp;$C73)</f>
        <v>0</v>
      </c>
      <c r="V73" s="83">
        <f>SUMIFS(Dataset!$AA:$AA,Dataset!$F:$F,'credito latam'!$D$11,Dataset!$AN:$AN,V$65,Dataset!$J:$J,"&lt;"&amp;$D73,Dataset!$J:$J,"&gt;="&amp;$C73)</f>
        <v>0</v>
      </c>
      <c r="W73" s="83">
        <f>SUMIFS(Dataset!$AA:$AA,Dataset!$F:$F,'credito latam'!$D$11,Dataset!$AN:$AN,W$65,Dataset!$J:$J,"&lt;"&amp;$D73,Dataset!$J:$J,"&gt;="&amp;$C73)</f>
        <v>0</v>
      </c>
      <c r="X73" s="83">
        <f>SUMIFS(Dataset!$AA:$AA,Dataset!$F:$F,'credito latam'!$D$11,Dataset!$AN:$AN,X$65,Dataset!$J:$J,"&lt;"&amp;$D73,Dataset!$J:$J,"&gt;="&amp;$C73)</f>
        <v>0</v>
      </c>
      <c r="Y73" s="83">
        <f>SUMIFS(Dataset!$AA:$AA,Dataset!$F:$F,'credito latam'!$D$11,Dataset!$AN:$AN,Y$65,Dataset!$J:$J,"&lt;"&amp;$D73,Dataset!$J:$J,"&gt;="&amp;$C73)</f>
        <v>0</v>
      </c>
      <c r="Z73" s="83">
        <f>SUMIFS(Dataset!$AA:$AA,Dataset!$F:$F,'credito latam'!$D$11,Dataset!$AN:$AN,Z$65,Dataset!$J:$J,"&lt;"&amp;$D73,Dataset!$J:$J,"&gt;="&amp;$C73)</f>
        <v>0</v>
      </c>
      <c r="AA73" s="83">
        <f>SUMIFS(Dataset!$AA:$AA,Dataset!$F:$F,'credito latam'!$D$11,Dataset!$AN:$AN,AA$65,Dataset!$J:$J,"&lt;"&amp;$D73,Dataset!$J:$J,"&gt;="&amp;$C73)</f>
        <v>0</v>
      </c>
      <c r="AB73" s="83">
        <f>SUMIFS(Dataset!$AA:$AA,Dataset!$F:$F,'credito latam'!$D$11,Dataset!$AN:$AN,AB$65,Dataset!$J:$J,"&lt;"&amp;$D73,Dataset!$J:$J,"&gt;="&amp;$C73)</f>
        <v>0</v>
      </c>
      <c r="AC73" s="83">
        <f>SUMIFS(Dataset!$AA:$AA,Dataset!$F:$F,'credito latam'!$D$11,Dataset!$AN:$AN,AC$65,Dataset!$J:$J,"&lt;"&amp;$D73,Dataset!$J:$J,"&gt;="&amp;$C73)</f>
        <v>0</v>
      </c>
      <c r="AD73" s="83">
        <f>SUMIFS(Dataset!$AA:$AA,Dataset!$F:$F,'credito latam'!$D$11,Dataset!$AN:$AN,"B-",Dataset!$J:$J,"&lt;"&amp;$D73,Dataset!$J:$J,"&gt;="&amp;$C73)+SUMIFS(Dataset!$AA:$AA,Dataset!$F:$F,'credito latam'!$D$11,Dataset!$AN:$AN,"B",Dataset!$J:$J,"&lt;"&amp;$D73,Dataset!$J:$J,"&gt;="&amp;$C73)+SUMIFS(Dataset!$AA:$AA,Dataset!$F:$F,'credito latam'!$D$11,Dataset!$AN:$AN,"B+",Dataset!$J:$J,"&lt;"&amp;$D73,Dataset!$J:$J,"&gt;="&amp;$C73)</f>
        <v>0</v>
      </c>
      <c r="AE73" s="114">
        <f>SUMIFS(Dataset!$AA:$AA,Dataset!$F:$F,'credito latam'!$D$11,Dataset!$AN:$AN,AE$65,Dataset!$J:$J,"&lt;"&amp;$D73,Dataset!$J:$J,"&gt;="&amp;$C73)</f>
        <v>0</v>
      </c>
      <c r="AF73" s="84">
        <f t="shared" si="8"/>
        <v>0</v>
      </c>
    </row>
    <row r="74" spans="3:32" ht="33" customHeight="1" x14ac:dyDescent="0.3">
      <c r="C74" s="61">
        <v>7.5</v>
      </c>
      <c r="D74" s="81">
        <v>8.5</v>
      </c>
      <c r="E74" s="113">
        <f>SUMIFS(Dataset!$AJ:$AJ,Dataset!$F:$F,'credito latam'!$D$11,Dataset!$AN:$AN,"*AAA*",Dataset!$J:$J,"&lt;"&amp;$D74,Dataset!$J:$J,"&gt;="&amp;$C74)</f>
        <v>0</v>
      </c>
      <c r="F74" s="101">
        <f>SUMIFS(Dataset!$AJ:$AJ,Dataset!$F:$F,'credito latam'!$D$11,Dataset!$AN:$AN,"AA+",Dataset!$J:$J,"&lt;"&amp;$D74,Dataset!$J:$J,"&gt;="&amp;$C74)+SUMIFS(Dataset!$AJ:$AJ,Dataset!$F:$F,'credito latam'!$D$11,Dataset!$AN:$AN,"AA",Dataset!$J:$J,"&lt;"&amp;$D74,Dataset!$J:$J,"&gt;="&amp;$C74)+SUMIFS(Dataset!$AJ:$AJ,Dataset!$F:$F,'credito latam'!$D$11,Dataset!$AN:$AN,"AA-",Dataset!$J:$J,"&lt;"&amp;$D74,Dataset!$J:$J,"&gt;="&amp;$C74)</f>
        <v>0</v>
      </c>
      <c r="G74" s="101">
        <f>SUMIFS(Dataset!$AJ:$AJ,Dataset!$F:$F,'credito latam'!$D$11,Dataset!$AN:$AN,G$65,Dataset!$J:$J,"&lt;"&amp;$D74,Dataset!$J:$J,"&gt;="&amp;$C74)</f>
        <v>0</v>
      </c>
      <c r="H74" s="101">
        <f>SUMIFS(Dataset!$AJ:$AJ,Dataset!$F:$F,'credito latam'!$D$11,Dataset!$AN:$AN,H$65,Dataset!$J:$J,"&lt;"&amp;$D74,Dataset!$J:$J,"&gt;="&amp;$C74)</f>
        <v>0</v>
      </c>
      <c r="I74" s="101">
        <f>SUMIFS(Dataset!$AJ:$AJ,Dataset!$F:$F,'credito latam'!$D$11,Dataset!$AN:$AN,I$65,Dataset!$J:$J,"&lt;"&amp;$D74,Dataset!$J:$J,"&gt;="&amp;$C74)</f>
        <v>0</v>
      </c>
      <c r="J74" s="101">
        <f>SUMIFS(Dataset!$AJ:$AJ,Dataset!$F:$F,'credito latam'!$D$11,Dataset!$AN:$AN,J$65,Dataset!$J:$J,"&lt;"&amp;$D74,Dataset!$J:$J,"&gt;="&amp;$C74)</f>
        <v>0</v>
      </c>
      <c r="K74" s="101">
        <f>SUMIFS(Dataset!$AJ:$AJ,Dataset!$F:$F,'credito latam'!$D$11,Dataset!$AN:$AN,K$65,Dataset!$J:$J,"&lt;"&amp;$D74,Dataset!$J:$J,"&gt;="&amp;$C74)</f>
        <v>0</v>
      </c>
      <c r="L74" s="101">
        <f>SUMIFS(Dataset!$AJ:$AJ,Dataset!$F:$F,'credito latam'!$D$11,Dataset!$AN:$AN,L$65,Dataset!$J:$J,"&lt;"&amp;$D74,Dataset!$J:$J,"&gt;="&amp;$C74)</f>
        <v>0</v>
      </c>
      <c r="M74" s="101">
        <f>SUMIFS(Dataset!$AJ:$AJ,Dataset!$F:$F,'credito latam'!$D$11,Dataset!$AN:$AN,M$65,Dataset!$J:$J,"&lt;"&amp;$D74,Dataset!$J:$J,"&gt;="&amp;$C74)</f>
        <v>0</v>
      </c>
      <c r="N74" s="101">
        <f>SUMIFS(Dataset!$AJ:$AJ,Dataset!$F:$F,'credito latam'!$D$11,Dataset!$AN:$AN,N$65,Dataset!$J:$J,"&lt;"&amp;$D74,Dataset!$J:$J,"&gt;="&amp;$C74)</f>
        <v>0</v>
      </c>
      <c r="O74" s="101">
        <f>SUMIFS(Dataset!$AJ:$AJ,Dataset!$F:$F,'credito latam'!$D$11,Dataset!$AN:$AN,O$65,Dataset!$J:$J,"&lt;"&amp;$D74,Dataset!$J:$J,"&gt;="&amp;$C74)</f>
        <v>0</v>
      </c>
      <c r="P74" s="101">
        <f>SUMIFS(Dataset!$AJ:$AJ,Dataset!$F:$F,'credito latam'!$D$11,Dataset!$AN:$AN,"B-",Dataset!$J:$J,"&lt;"&amp;$D74,Dataset!$J:$J,"&gt;="&amp;$C74)+SUMIFS(Dataset!$AJ:$AJ,Dataset!$F:$F,'credito latam'!$D$11,Dataset!$AN:$AN,"B",Dataset!$J:$J,"&lt;"&amp;$D74,Dataset!$J:$J,"&gt;="&amp;$C74)+SUMIFS(Dataset!$AJ:$AJ,Dataset!$F:$F,'credito latam'!$D$11,Dataset!$AN:$AN,"B+",Dataset!$J:$J,"&lt;"&amp;$D74,Dataset!$J:$J,"&gt;="&amp;$C74)</f>
        <v>0</v>
      </c>
      <c r="Q74" s="102">
        <f>SUMIFS(Dataset!$AJ:$AJ,Dataset!$F:$F,'credito latam'!$D$11,Dataset!$AN:$AN,Q$65,Dataset!$J:$J,"&lt;"&amp;$D74,Dataset!$J:$J,"&gt;="&amp;$C74)</f>
        <v>0</v>
      </c>
      <c r="R74" s="84">
        <f t="shared" si="7"/>
        <v>0</v>
      </c>
      <c r="S74" s="113">
        <f>SUMIFS(Dataset!$AA:$AA,Dataset!$F:$F,'credito latam'!$D$11,Dataset!$AN:$AN,"*AAA*",Dataset!$J:$J,"&lt;"&amp;$D74,Dataset!$J:$J,"&gt;="&amp;$C74)</f>
        <v>0</v>
      </c>
      <c r="T74" s="101">
        <f>SUMIFS(Dataset!$AA:$AA,Dataset!$F:$F,'credito latam'!$D$11,Dataset!$AN:$AN,"AA+",Dataset!$J:$J,"&lt;"&amp;$D74,Dataset!$J:$J,"&gt;="&amp;$C74)+SUMIFS(Dataset!$AA:$AA,Dataset!$F:$F,'credito latam'!$D$11,Dataset!$AN:$AN,"AA",Dataset!$J:$J,"&lt;"&amp;$D74,Dataset!$J:$J,"&gt;="&amp;$C74)+SUMIFS(Dataset!$AA:$AA,Dataset!$F:$F,'credito latam'!$D$11,Dataset!$AN:$AN,"AA-",Dataset!$J:$J,"&lt;"&amp;$D74,Dataset!$J:$J,"&gt;="&amp;$C74)</f>
        <v>0</v>
      </c>
      <c r="U74" s="101">
        <f>SUMIFS(Dataset!$AA:$AA,Dataset!$F:$F,'credito latam'!$D$11,Dataset!$AN:$AN,U$65,Dataset!$J:$J,"&lt;"&amp;$D74,Dataset!$J:$J,"&gt;="&amp;$C74)</f>
        <v>0</v>
      </c>
      <c r="V74" s="101">
        <f>SUMIFS(Dataset!$AA:$AA,Dataset!$F:$F,'credito latam'!$D$11,Dataset!$AN:$AN,V$65,Dataset!$J:$J,"&lt;"&amp;$D74,Dataset!$J:$J,"&gt;="&amp;$C74)</f>
        <v>0</v>
      </c>
      <c r="W74" s="101">
        <f>SUMIFS(Dataset!$AA:$AA,Dataset!$F:$F,'credito latam'!$D$11,Dataset!$AN:$AN,W$65,Dataset!$J:$J,"&lt;"&amp;$D74,Dataset!$J:$J,"&gt;="&amp;$C74)</f>
        <v>0</v>
      </c>
      <c r="X74" s="101">
        <f>SUMIFS(Dataset!$AA:$AA,Dataset!$F:$F,'credito latam'!$D$11,Dataset!$AN:$AN,X$65,Dataset!$J:$J,"&lt;"&amp;$D74,Dataset!$J:$J,"&gt;="&amp;$C74)</f>
        <v>0</v>
      </c>
      <c r="Y74" s="101">
        <f>SUMIFS(Dataset!$AA:$AA,Dataset!$F:$F,'credito latam'!$D$11,Dataset!$AN:$AN,Y$65,Dataset!$J:$J,"&lt;"&amp;$D74,Dataset!$J:$J,"&gt;="&amp;$C74)</f>
        <v>0</v>
      </c>
      <c r="Z74" s="101">
        <f>SUMIFS(Dataset!$AA:$AA,Dataset!$F:$F,'credito latam'!$D$11,Dataset!$AN:$AN,Z$65,Dataset!$J:$J,"&lt;"&amp;$D74,Dataset!$J:$J,"&gt;="&amp;$C74)</f>
        <v>0</v>
      </c>
      <c r="AA74" s="101">
        <f>SUMIFS(Dataset!$AA:$AA,Dataset!$F:$F,'credito latam'!$D$11,Dataset!$AN:$AN,AA$65,Dataset!$J:$J,"&lt;"&amp;$D74,Dataset!$J:$J,"&gt;="&amp;$C74)</f>
        <v>0</v>
      </c>
      <c r="AB74" s="101">
        <f>SUMIFS(Dataset!$AA:$AA,Dataset!$F:$F,'credito latam'!$D$11,Dataset!$AN:$AN,AB$65,Dataset!$J:$J,"&lt;"&amp;$D74,Dataset!$J:$J,"&gt;="&amp;$C74)</f>
        <v>0</v>
      </c>
      <c r="AC74" s="101">
        <f>SUMIFS(Dataset!$AA:$AA,Dataset!$F:$F,'credito latam'!$D$11,Dataset!$AN:$AN,AC$65,Dataset!$J:$J,"&lt;"&amp;$D74,Dataset!$J:$J,"&gt;="&amp;$C74)</f>
        <v>0</v>
      </c>
      <c r="AD74" s="101">
        <f>SUMIFS(Dataset!$AA:$AA,Dataset!$F:$F,'credito latam'!$D$11,Dataset!$AN:$AN,"B-",Dataset!$J:$J,"&lt;"&amp;$D74,Dataset!$J:$J,"&gt;="&amp;$C74)+SUMIFS(Dataset!$AA:$AA,Dataset!$F:$F,'credito latam'!$D$11,Dataset!$AN:$AN,"B",Dataset!$J:$J,"&lt;"&amp;$D74,Dataset!$J:$J,"&gt;="&amp;$C74)+SUMIFS(Dataset!$AA:$AA,Dataset!$F:$F,'credito latam'!$D$11,Dataset!$AN:$AN,"B+",Dataset!$J:$J,"&lt;"&amp;$D74,Dataset!$J:$J,"&gt;="&amp;$C74)</f>
        <v>0</v>
      </c>
      <c r="AE74" s="102">
        <f>SUMIFS(Dataset!$AA:$AA,Dataset!$F:$F,'credito latam'!$D$11,Dataset!$AN:$AN,AE$65,Dataset!$J:$J,"&lt;"&amp;$D74,Dataset!$J:$J,"&gt;="&amp;$C74)</f>
        <v>0</v>
      </c>
      <c r="AF74" s="84">
        <f t="shared" si="8"/>
        <v>0</v>
      </c>
    </row>
    <row r="75" spans="3:32" ht="33" customHeight="1" x14ac:dyDescent="0.3">
      <c r="C75" s="61">
        <v>8.5</v>
      </c>
      <c r="D75" s="81">
        <v>9.5</v>
      </c>
      <c r="E75" s="113">
        <f>SUMIFS(Dataset!$AJ:$AJ,Dataset!$F:$F,'credito latam'!$D$11,Dataset!$AN:$AN,"*AAA*",Dataset!$J:$J,"&lt;"&amp;$D75,Dataset!$J:$J,"&gt;="&amp;$C75)</f>
        <v>0</v>
      </c>
      <c r="F75" s="83">
        <f>SUMIFS(Dataset!$AJ:$AJ,Dataset!$F:$F,'credito latam'!$D$11,Dataset!$AN:$AN,"AA+",Dataset!$J:$J,"&lt;"&amp;$D75,Dataset!$J:$J,"&gt;="&amp;$C75)+SUMIFS(Dataset!$AJ:$AJ,Dataset!$F:$F,'credito latam'!$D$11,Dataset!$AN:$AN,"AA",Dataset!$J:$J,"&lt;"&amp;$D75,Dataset!$J:$J,"&gt;="&amp;$C75)+SUMIFS(Dataset!$AJ:$AJ,Dataset!$F:$F,'credito latam'!$D$11,Dataset!$AN:$AN,"AA-",Dataset!$J:$J,"&lt;"&amp;$D75,Dataset!$J:$J,"&gt;="&amp;$C75)</f>
        <v>0</v>
      </c>
      <c r="G75" s="83">
        <f>SUMIFS(Dataset!$AJ:$AJ,Dataset!$F:$F,'credito latam'!$D$11,Dataset!$AN:$AN,G$65,Dataset!$J:$J,"&lt;"&amp;$D75,Dataset!$J:$J,"&gt;="&amp;$C75)</f>
        <v>0</v>
      </c>
      <c r="H75" s="83">
        <f>SUMIFS(Dataset!$AJ:$AJ,Dataset!$F:$F,'credito latam'!$D$11,Dataset!$AN:$AN,H$65,Dataset!$J:$J,"&lt;"&amp;$D75,Dataset!$J:$J,"&gt;="&amp;$C75)</f>
        <v>0</v>
      </c>
      <c r="I75" s="83">
        <f>SUMIFS(Dataset!$AJ:$AJ,Dataset!$F:$F,'credito latam'!$D$11,Dataset!$AN:$AN,I$65,Dataset!$J:$J,"&lt;"&amp;$D75,Dataset!$J:$J,"&gt;="&amp;$C75)</f>
        <v>0</v>
      </c>
      <c r="J75" s="83">
        <f>SUMIFS(Dataset!$AJ:$AJ,Dataset!$F:$F,'credito latam'!$D$11,Dataset!$AN:$AN,J$65,Dataset!$J:$J,"&lt;"&amp;$D75,Dataset!$J:$J,"&gt;="&amp;$C75)</f>
        <v>0</v>
      </c>
      <c r="K75" s="83">
        <f>SUMIFS(Dataset!$AJ:$AJ,Dataset!$F:$F,'credito latam'!$D$11,Dataset!$AN:$AN,K$65,Dataset!$J:$J,"&lt;"&amp;$D75,Dataset!$J:$J,"&gt;="&amp;$C75)</f>
        <v>0</v>
      </c>
      <c r="L75" s="83">
        <f>SUMIFS(Dataset!$AJ:$AJ,Dataset!$F:$F,'credito latam'!$D$11,Dataset!$AN:$AN,L$65,Dataset!$J:$J,"&lt;"&amp;$D75,Dataset!$J:$J,"&gt;="&amp;$C75)</f>
        <v>0</v>
      </c>
      <c r="M75" s="83">
        <f>SUMIFS(Dataset!$AJ:$AJ,Dataset!$F:$F,'credito latam'!$D$11,Dataset!$AN:$AN,M$65,Dataset!$J:$J,"&lt;"&amp;$D75,Dataset!$J:$J,"&gt;="&amp;$C75)</f>
        <v>0</v>
      </c>
      <c r="N75" s="83">
        <f>SUMIFS(Dataset!$AJ:$AJ,Dataset!$F:$F,'credito latam'!$D$11,Dataset!$AN:$AN,N$65,Dataset!$J:$J,"&lt;"&amp;$D75,Dataset!$J:$J,"&gt;="&amp;$C75)</f>
        <v>0</v>
      </c>
      <c r="O75" s="83">
        <f>SUMIFS(Dataset!$AJ:$AJ,Dataset!$F:$F,'credito latam'!$D$11,Dataset!$AN:$AN,O$65,Dataset!$J:$J,"&lt;"&amp;$D75,Dataset!$J:$J,"&gt;="&amp;$C75)</f>
        <v>0</v>
      </c>
      <c r="P75" s="83">
        <f>SUMIFS(Dataset!$AJ:$AJ,Dataset!$F:$F,'credito latam'!$D$11,Dataset!$AN:$AN,"B-",Dataset!$J:$J,"&lt;"&amp;$D75,Dataset!$J:$J,"&gt;="&amp;$C75)+SUMIFS(Dataset!$AJ:$AJ,Dataset!$F:$F,'credito latam'!$D$11,Dataset!$AN:$AN,"B",Dataset!$J:$J,"&lt;"&amp;$D75,Dataset!$J:$J,"&gt;="&amp;$C75)+SUMIFS(Dataset!$AJ:$AJ,Dataset!$F:$F,'credito latam'!$D$11,Dataset!$AN:$AN,"B+",Dataset!$J:$J,"&lt;"&amp;$D75,Dataset!$J:$J,"&gt;="&amp;$C75)</f>
        <v>0</v>
      </c>
      <c r="Q75" s="114">
        <f>SUMIFS(Dataset!$AJ:$AJ,Dataset!$F:$F,'credito latam'!$D$11,Dataset!$AN:$AN,Q$65,Dataset!$J:$J,"&lt;"&amp;$D75,Dataset!$J:$J,"&gt;="&amp;$C75)</f>
        <v>0</v>
      </c>
      <c r="R75" s="84">
        <f t="shared" si="7"/>
        <v>0</v>
      </c>
      <c r="S75" s="113">
        <f>SUMIFS(Dataset!$AA:$AA,Dataset!$F:$F,'credito latam'!$D$11,Dataset!$AN:$AN,"*AAA*",Dataset!$J:$J,"&lt;"&amp;$D75,Dataset!$J:$J,"&gt;="&amp;$C75)</f>
        <v>0</v>
      </c>
      <c r="T75" s="83">
        <f>SUMIFS(Dataset!$AA:$AA,Dataset!$F:$F,'credito latam'!$D$11,Dataset!$AN:$AN,"AA+",Dataset!$J:$J,"&lt;"&amp;$D75,Dataset!$J:$J,"&gt;="&amp;$C75)+SUMIFS(Dataset!$AA:$AA,Dataset!$F:$F,'credito latam'!$D$11,Dataset!$AN:$AN,"AA",Dataset!$J:$J,"&lt;"&amp;$D75,Dataset!$J:$J,"&gt;="&amp;$C75)+SUMIFS(Dataset!$AA:$AA,Dataset!$F:$F,'credito latam'!$D$11,Dataset!$AN:$AN,"AA-",Dataset!$J:$J,"&lt;"&amp;$D75,Dataset!$J:$J,"&gt;="&amp;$C75)</f>
        <v>0</v>
      </c>
      <c r="U75" s="83">
        <f>SUMIFS(Dataset!$AA:$AA,Dataset!$F:$F,'credito latam'!$D$11,Dataset!$AN:$AN,U$65,Dataset!$J:$J,"&lt;"&amp;$D75,Dataset!$J:$J,"&gt;="&amp;$C75)</f>
        <v>0</v>
      </c>
      <c r="V75" s="83">
        <f>SUMIFS(Dataset!$AA:$AA,Dataset!$F:$F,'credito latam'!$D$11,Dataset!$AN:$AN,V$65,Dataset!$J:$J,"&lt;"&amp;$D75,Dataset!$J:$J,"&gt;="&amp;$C75)</f>
        <v>0</v>
      </c>
      <c r="W75" s="83">
        <f>SUMIFS(Dataset!$AA:$AA,Dataset!$F:$F,'credito latam'!$D$11,Dataset!$AN:$AN,W$65,Dataset!$J:$J,"&lt;"&amp;$D75,Dataset!$J:$J,"&gt;="&amp;$C75)</f>
        <v>0</v>
      </c>
      <c r="X75" s="83">
        <f>SUMIFS(Dataset!$AA:$AA,Dataset!$F:$F,'credito latam'!$D$11,Dataset!$AN:$AN,X$65,Dataset!$J:$J,"&lt;"&amp;$D75,Dataset!$J:$J,"&gt;="&amp;$C75)</f>
        <v>0</v>
      </c>
      <c r="Y75" s="83">
        <f>SUMIFS(Dataset!$AA:$AA,Dataset!$F:$F,'credito latam'!$D$11,Dataset!$AN:$AN,Y$65,Dataset!$J:$J,"&lt;"&amp;$D75,Dataset!$J:$J,"&gt;="&amp;$C75)</f>
        <v>0</v>
      </c>
      <c r="Z75" s="83">
        <f>SUMIFS(Dataset!$AA:$AA,Dataset!$F:$F,'credito latam'!$D$11,Dataset!$AN:$AN,Z$65,Dataset!$J:$J,"&lt;"&amp;$D75,Dataset!$J:$J,"&gt;="&amp;$C75)</f>
        <v>0</v>
      </c>
      <c r="AA75" s="83">
        <f>SUMIFS(Dataset!$AA:$AA,Dataset!$F:$F,'credito latam'!$D$11,Dataset!$AN:$AN,AA$65,Dataset!$J:$J,"&lt;"&amp;$D75,Dataset!$J:$J,"&gt;="&amp;$C75)</f>
        <v>0</v>
      </c>
      <c r="AB75" s="83">
        <f>SUMIFS(Dataset!$AA:$AA,Dataset!$F:$F,'credito latam'!$D$11,Dataset!$AN:$AN,AB$65,Dataset!$J:$J,"&lt;"&amp;$D75,Dataset!$J:$J,"&gt;="&amp;$C75)</f>
        <v>0</v>
      </c>
      <c r="AC75" s="83">
        <f>SUMIFS(Dataset!$AA:$AA,Dataset!$F:$F,'credito latam'!$D$11,Dataset!$AN:$AN,AC$65,Dataset!$J:$J,"&lt;"&amp;$D75,Dataset!$J:$J,"&gt;="&amp;$C75)</f>
        <v>0</v>
      </c>
      <c r="AD75" s="83">
        <f>SUMIFS(Dataset!$AA:$AA,Dataset!$F:$F,'credito latam'!$D$11,Dataset!$AN:$AN,"B-",Dataset!$J:$J,"&lt;"&amp;$D75,Dataset!$J:$J,"&gt;="&amp;$C75)+SUMIFS(Dataset!$AA:$AA,Dataset!$F:$F,'credito latam'!$D$11,Dataset!$AN:$AN,"B",Dataset!$J:$J,"&lt;"&amp;$D75,Dataset!$J:$J,"&gt;="&amp;$C75)+SUMIFS(Dataset!$AA:$AA,Dataset!$F:$F,'credito latam'!$D$11,Dataset!$AN:$AN,"B+",Dataset!$J:$J,"&lt;"&amp;$D75,Dataset!$J:$J,"&gt;="&amp;$C75)</f>
        <v>0</v>
      </c>
      <c r="AE75" s="114">
        <f>SUMIFS(Dataset!$AA:$AA,Dataset!$F:$F,'credito latam'!$D$11,Dataset!$AN:$AN,AE$65,Dataset!$J:$J,"&lt;"&amp;$D75,Dataset!$J:$J,"&gt;="&amp;$C75)</f>
        <v>0</v>
      </c>
      <c r="AF75" s="84">
        <f t="shared" si="8"/>
        <v>0</v>
      </c>
    </row>
    <row r="76" spans="3:32" ht="33" customHeight="1" x14ac:dyDescent="0.3">
      <c r="C76" s="61">
        <v>9.5</v>
      </c>
      <c r="D76" s="81">
        <v>10.5</v>
      </c>
      <c r="E76" s="113">
        <f>SUMIFS(Dataset!$AJ:$AJ,Dataset!$F:$F,'credito latam'!$D$11,Dataset!$AN:$AN,"*AAA*",Dataset!$J:$J,"&lt;"&amp;$D76,Dataset!$J:$J,"&gt;="&amp;$C76)</f>
        <v>0</v>
      </c>
      <c r="F76" s="101">
        <f>SUMIFS(Dataset!$AJ:$AJ,Dataset!$F:$F,'credito latam'!$D$11,Dataset!$AN:$AN,"AA+",Dataset!$J:$J,"&lt;"&amp;$D76,Dataset!$J:$J,"&gt;="&amp;$C76)+SUMIFS(Dataset!$AJ:$AJ,Dataset!$F:$F,'credito latam'!$D$11,Dataset!$AN:$AN,"AA",Dataset!$J:$J,"&lt;"&amp;$D76,Dataset!$J:$J,"&gt;="&amp;$C76)+SUMIFS(Dataset!$AJ:$AJ,Dataset!$F:$F,'credito latam'!$D$11,Dataset!$AN:$AN,"AA-",Dataset!$J:$J,"&lt;"&amp;$D76,Dataset!$J:$J,"&gt;="&amp;$C76)</f>
        <v>0</v>
      </c>
      <c r="G76" s="101">
        <f>SUMIFS(Dataset!$AJ:$AJ,Dataset!$F:$F,'credito latam'!$D$11,Dataset!$AN:$AN,G$65,Dataset!$J:$J,"&lt;"&amp;$D76,Dataset!$J:$J,"&gt;="&amp;$C76)</f>
        <v>0</v>
      </c>
      <c r="H76" s="101">
        <f>SUMIFS(Dataset!$AJ:$AJ,Dataset!$F:$F,'credito latam'!$D$11,Dataset!$AN:$AN,H$65,Dataset!$J:$J,"&lt;"&amp;$D76,Dataset!$J:$J,"&gt;="&amp;$C76)</f>
        <v>0</v>
      </c>
      <c r="I76" s="101">
        <f>SUMIFS(Dataset!$AJ:$AJ,Dataset!$F:$F,'credito latam'!$D$11,Dataset!$AN:$AN,I$65,Dataset!$J:$J,"&lt;"&amp;$D76,Dataset!$J:$J,"&gt;="&amp;$C76)</f>
        <v>0</v>
      </c>
      <c r="J76" s="101">
        <f>SUMIFS(Dataset!$AJ:$AJ,Dataset!$F:$F,'credito latam'!$D$11,Dataset!$AN:$AN,J$65,Dataset!$J:$J,"&lt;"&amp;$D76,Dataset!$J:$J,"&gt;="&amp;$C76)</f>
        <v>0</v>
      </c>
      <c r="K76" s="101">
        <f>SUMIFS(Dataset!$AJ:$AJ,Dataset!$F:$F,'credito latam'!$D$11,Dataset!$AN:$AN,K$65,Dataset!$J:$J,"&lt;"&amp;$D76,Dataset!$J:$J,"&gt;="&amp;$C76)</f>
        <v>0</v>
      </c>
      <c r="L76" s="101">
        <f>SUMIFS(Dataset!$AJ:$AJ,Dataset!$F:$F,'credito latam'!$D$11,Dataset!$AN:$AN,L$65,Dataset!$J:$J,"&lt;"&amp;$D76,Dataset!$J:$J,"&gt;="&amp;$C76)</f>
        <v>0</v>
      </c>
      <c r="M76" s="101">
        <f>SUMIFS(Dataset!$AJ:$AJ,Dataset!$F:$F,'credito latam'!$D$11,Dataset!$AN:$AN,M$65,Dataset!$J:$J,"&lt;"&amp;$D76,Dataset!$J:$J,"&gt;="&amp;$C76)</f>
        <v>0</v>
      </c>
      <c r="N76" s="101">
        <f>SUMIFS(Dataset!$AJ:$AJ,Dataset!$F:$F,'credito latam'!$D$11,Dataset!$AN:$AN,N$65,Dataset!$J:$J,"&lt;"&amp;$D76,Dataset!$J:$J,"&gt;="&amp;$C76)</f>
        <v>0</v>
      </c>
      <c r="O76" s="101">
        <f>SUMIFS(Dataset!$AJ:$AJ,Dataset!$F:$F,'credito latam'!$D$11,Dataset!$AN:$AN,O$65,Dataset!$J:$J,"&lt;"&amp;$D76,Dataset!$J:$J,"&gt;="&amp;$C76)</f>
        <v>0</v>
      </c>
      <c r="P76" s="101">
        <f>SUMIFS(Dataset!$AJ:$AJ,Dataset!$F:$F,'credito latam'!$D$11,Dataset!$AN:$AN,"B-",Dataset!$J:$J,"&lt;"&amp;$D76,Dataset!$J:$J,"&gt;="&amp;$C76)+SUMIFS(Dataset!$AJ:$AJ,Dataset!$F:$F,'credito latam'!$D$11,Dataset!$AN:$AN,"B",Dataset!$J:$J,"&lt;"&amp;$D76,Dataset!$J:$J,"&gt;="&amp;$C76)+SUMIFS(Dataset!$AJ:$AJ,Dataset!$F:$F,'credito latam'!$D$11,Dataset!$AN:$AN,"B+",Dataset!$J:$J,"&lt;"&amp;$D76,Dataset!$J:$J,"&gt;="&amp;$C76)</f>
        <v>0</v>
      </c>
      <c r="Q76" s="102">
        <f>SUMIFS(Dataset!$AJ:$AJ,Dataset!$F:$F,'credito latam'!$D$11,Dataset!$AN:$AN,Q$65,Dataset!$J:$J,"&lt;"&amp;$D76,Dataset!$J:$J,"&gt;="&amp;$C76)</f>
        <v>0</v>
      </c>
      <c r="R76" s="84">
        <f t="shared" si="7"/>
        <v>0</v>
      </c>
      <c r="S76" s="113">
        <f>SUMIFS(Dataset!$AA:$AA,Dataset!$F:$F,'credito latam'!$D$11,Dataset!$AN:$AN,"*AAA*",Dataset!$J:$J,"&lt;"&amp;$D76,Dataset!$J:$J,"&gt;="&amp;$C76)</f>
        <v>0</v>
      </c>
      <c r="T76" s="101">
        <f>SUMIFS(Dataset!$AA:$AA,Dataset!$F:$F,'credito latam'!$D$11,Dataset!$AN:$AN,"AA+",Dataset!$J:$J,"&lt;"&amp;$D76,Dataset!$J:$J,"&gt;="&amp;$C76)+SUMIFS(Dataset!$AA:$AA,Dataset!$F:$F,'credito latam'!$D$11,Dataset!$AN:$AN,"AA",Dataset!$J:$J,"&lt;"&amp;$D76,Dataset!$J:$J,"&gt;="&amp;$C76)+SUMIFS(Dataset!$AA:$AA,Dataset!$F:$F,'credito latam'!$D$11,Dataset!$AN:$AN,"AA-",Dataset!$J:$J,"&lt;"&amp;$D76,Dataset!$J:$J,"&gt;="&amp;$C76)</f>
        <v>0</v>
      </c>
      <c r="U76" s="101">
        <f>SUMIFS(Dataset!$AA:$AA,Dataset!$F:$F,'credito latam'!$D$11,Dataset!$AN:$AN,U$65,Dataset!$J:$J,"&lt;"&amp;$D76,Dataset!$J:$J,"&gt;="&amp;$C76)</f>
        <v>0</v>
      </c>
      <c r="V76" s="101">
        <f>SUMIFS(Dataset!$AA:$AA,Dataset!$F:$F,'credito latam'!$D$11,Dataset!$AN:$AN,V$65,Dataset!$J:$J,"&lt;"&amp;$D76,Dataset!$J:$J,"&gt;="&amp;$C76)</f>
        <v>0</v>
      </c>
      <c r="W76" s="101">
        <f>SUMIFS(Dataset!$AA:$AA,Dataset!$F:$F,'credito latam'!$D$11,Dataset!$AN:$AN,W$65,Dataset!$J:$J,"&lt;"&amp;$D76,Dataset!$J:$J,"&gt;="&amp;$C76)</f>
        <v>0</v>
      </c>
      <c r="X76" s="101">
        <f>SUMIFS(Dataset!$AA:$AA,Dataset!$F:$F,'credito latam'!$D$11,Dataset!$AN:$AN,X$65,Dataset!$J:$J,"&lt;"&amp;$D76,Dataset!$J:$J,"&gt;="&amp;$C76)</f>
        <v>0</v>
      </c>
      <c r="Y76" s="101">
        <f>SUMIFS(Dataset!$AA:$AA,Dataset!$F:$F,'credito latam'!$D$11,Dataset!$AN:$AN,Y$65,Dataset!$J:$J,"&lt;"&amp;$D76,Dataset!$J:$J,"&gt;="&amp;$C76)</f>
        <v>0</v>
      </c>
      <c r="Z76" s="101">
        <f>SUMIFS(Dataset!$AA:$AA,Dataset!$F:$F,'credito latam'!$D$11,Dataset!$AN:$AN,Z$65,Dataset!$J:$J,"&lt;"&amp;$D76,Dataset!$J:$J,"&gt;="&amp;$C76)</f>
        <v>0</v>
      </c>
      <c r="AA76" s="101">
        <f>SUMIFS(Dataset!$AA:$AA,Dataset!$F:$F,'credito latam'!$D$11,Dataset!$AN:$AN,AA$65,Dataset!$J:$J,"&lt;"&amp;$D76,Dataset!$J:$J,"&gt;="&amp;$C76)</f>
        <v>0</v>
      </c>
      <c r="AB76" s="101">
        <f>SUMIFS(Dataset!$AA:$AA,Dataset!$F:$F,'credito latam'!$D$11,Dataset!$AN:$AN,AB$65,Dataset!$J:$J,"&lt;"&amp;$D76,Dataset!$J:$J,"&gt;="&amp;$C76)</f>
        <v>0</v>
      </c>
      <c r="AC76" s="101">
        <f>SUMIFS(Dataset!$AA:$AA,Dataset!$F:$F,'credito latam'!$D$11,Dataset!$AN:$AN,AC$65,Dataset!$J:$J,"&lt;"&amp;$D76,Dataset!$J:$J,"&gt;="&amp;$C76)</f>
        <v>0</v>
      </c>
      <c r="AD76" s="101">
        <f>SUMIFS(Dataset!$AA:$AA,Dataset!$F:$F,'credito latam'!$D$11,Dataset!$AN:$AN,"B-",Dataset!$J:$J,"&lt;"&amp;$D76,Dataset!$J:$J,"&gt;="&amp;$C76)+SUMIFS(Dataset!$AA:$AA,Dataset!$F:$F,'credito latam'!$D$11,Dataset!$AN:$AN,"B",Dataset!$J:$J,"&lt;"&amp;$D76,Dataset!$J:$J,"&gt;="&amp;$C76)+SUMIFS(Dataset!$AA:$AA,Dataset!$F:$F,'credito latam'!$D$11,Dataset!$AN:$AN,"B+",Dataset!$J:$J,"&lt;"&amp;$D76,Dataset!$J:$J,"&gt;="&amp;$C76)</f>
        <v>0</v>
      </c>
      <c r="AE76" s="102">
        <f>SUMIFS(Dataset!$AA:$AA,Dataset!$F:$F,'credito latam'!$D$11,Dataset!$AN:$AN,AE$65,Dataset!$J:$J,"&lt;"&amp;$D76,Dataset!$J:$J,"&gt;="&amp;$C76)</f>
        <v>0</v>
      </c>
      <c r="AF76" s="84">
        <f t="shared" si="8"/>
        <v>0</v>
      </c>
    </row>
    <row r="77" spans="3:32" ht="33" customHeight="1" x14ac:dyDescent="0.3">
      <c r="C77" s="61">
        <v>10.5</v>
      </c>
      <c r="D77" s="81">
        <v>11.5</v>
      </c>
      <c r="E77" s="113">
        <f>SUMIFS(Dataset!$AJ:$AJ,Dataset!$F:$F,'credito latam'!$D$11,Dataset!$AN:$AN,"*AAA*",Dataset!$J:$J,"&lt;"&amp;$D77,Dataset!$J:$J,"&gt;="&amp;$C77)</f>
        <v>0</v>
      </c>
      <c r="F77" s="83">
        <f>SUMIFS(Dataset!$AJ:$AJ,Dataset!$F:$F,'credito latam'!$D$11,Dataset!$AN:$AN,"AA+",Dataset!$J:$J,"&lt;"&amp;$D77,Dataset!$J:$J,"&gt;="&amp;$C77)+SUMIFS(Dataset!$AJ:$AJ,Dataset!$F:$F,'credito latam'!$D$11,Dataset!$AN:$AN,"AA",Dataset!$J:$J,"&lt;"&amp;$D77,Dataset!$J:$J,"&gt;="&amp;$C77)+SUMIFS(Dataset!$AJ:$AJ,Dataset!$F:$F,'credito latam'!$D$11,Dataset!$AN:$AN,"AA-",Dataset!$J:$J,"&lt;"&amp;$D77,Dataset!$J:$J,"&gt;="&amp;$C77)</f>
        <v>0</v>
      </c>
      <c r="G77" s="83">
        <f>SUMIFS(Dataset!$AJ:$AJ,Dataset!$F:$F,'credito latam'!$D$11,Dataset!$AN:$AN,G$65,Dataset!$J:$J,"&lt;"&amp;$D77,Dataset!$J:$J,"&gt;="&amp;$C77)</f>
        <v>0</v>
      </c>
      <c r="H77" s="83">
        <f>SUMIFS(Dataset!$AJ:$AJ,Dataset!$F:$F,'credito latam'!$D$11,Dataset!$AN:$AN,H$65,Dataset!$J:$J,"&lt;"&amp;$D77,Dataset!$J:$J,"&gt;="&amp;$C77)</f>
        <v>0</v>
      </c>
      <c r="I77" s="83">
        <f>SUMIFS(Dataset!$AJ:$AJ,Dataset!$F:$F,'credito latam'!$D$11,Dataset!$AN:$AN,I$65,Dataset!$J:$J,"&lt;"&amp;$D77,Dataset!$J:$J,"&gt;="&amp;$C77)</f>
        <v>0</v>
      </c>
      <c r="J77" s="83">
        <f>SUMIFS(Dataset!$AJ:$AJ,Dataset!$F:$F,'credito latam'!$D$11,Dataset!$AN:$AN,J$65,Dataset!$J:$J,"&lt;"&amp;$D77,Dataset!$J:$J,"&gt;="&amp;$C77)</f>
        <v>0</v>
      </c>
      <c r="K77" s="83">
        <f>SUMIFS(Dataset!$AJ:$AJ,Dataset!$F:$F,'credito latam'!$D$11,Dataset!$AN:$AN,K$65,Dataset!$J:$J,"&lt;"&amp;$D77,Dataset!$J:$J,"&gt;="&amp;$C77)</f>
        <v>0</v>
      </c>
      <c r="L77" s="83">
        <f>SUMIFS(Dataset!$AJ:$AJ,Dataset!$F:$F,'credito latam'!$D$11,Dataset!$AN:$AN,L$65,Dataset!$J:$J,"&lt;"&amp;$D77,Dataset!$J:$J,"&gt;="&amp;$C77)</f>
        <v>0</v>
      </c>
      <c r="M77" s="83">
        <f>SUMIFS(Dataset!$AJ:$AJ,Dataset!$F:$F,'credito latam'!$D$11,Dataset!$AN:$AN,M$65,Dataset!$J:$J,"&lt;"&amp;$D77,Dataset!$J:$J,"&gt;="&amp;$C77)</f>
        <v>0</v>
      </c>
      <c r="N77" s="83">
        <f>SUMIFS(Dataset!$AJ:$AJ,Dataset!$F:$F,'credito latam'!$D$11,Dataset!$AN:$AN,N$65,Dataset!$J:$J,"&lt;"&amp;$D77,Dataset!$J:$J,"&gt;="&amp;$C77)</f>
        <v>0</v>
      </c>
      <c r="O77" s="83">
        <f>SUMIFS(Dataset!$AJ:$AJ,Dataset!$F:$F,'credito latam'!$D$11,Dataset!$AN:$AN,O$65,Dataset!$J:$J,"&lt;"&amp;$D77,Dataset!$J:$J,"&gt;="&amp;$C77)</f>
        <v>0</v>
      </c>
      <c r="P77" s="83">
        <f>SUMIFS(Dataset!$AJ:$AJ,Dataset!$F:$F,'credito latam'!$D$11,Dataset!$AN:$AN,"B-",Dataset!$J:$J,"&lt;"&amp;$D77,Dataset!$J:$J,"&gt;="&amp;$C77)+SUMIFS(Dataset!$AJ:$AJ,Dataset!$F:$F,'credito latam'!$D$11,Dataset!$AN:$AN,"B",Dataset!$J:$J,"&lt;"&amp;$D77,Dataset!$J:$J,"&gt;="&amp;$C77)+SUMIFS(Dataset!$AJ:$AJ,Dataset!$F:$F,'credito latam'!$D$11,Dataset!$AN:$AN,"B+",Dataset!$J:$J,"&lt;"&amp;$D77,Dataset!$J:$J,"&gt;="&amp;$C77)</f>
        <v>0</v>
      </c>
      <c r="Q77" s="114">
        <f>SUMIFS(Dataset!$AJ:$AJ,Dataset!$F:$F,'credito latam'!$D$11,Dataset!$AN:$AN,Q$65,Dataset!$J:$J,"&lt;"&amp;$D77,Dataset!$J:$J,"&gt;="&amp;$C77)</f>
        <v>0</v>
      </c>
      <c r="R77" s="84">
        <f t="shared" si="7"/>
        <v>0</v>
      </c>
      <c r="S77" s="113">
        <f>SUMIFS(Dataset!$AA:$AA,Dataset!$F:$F,'credito latam'!$D$11,Dataset!$AN:$AN,"*AAA*",Dataset!$J:$J,"&lt;"&amp;$D77,Dataset!$J:$J,"&gt;="&amp;$C77)</f>
        <v>0</v>
      </c>
      <c r="T77" s="83">
        <f>SUMIFS(Dataset!$AA:$AA,Dataset!$F:$F,'credito latam'!$D$11,Dataset!$AN:$AN,"AA+",Dataset!$J:$J,"&lt;"&amp;$D77,Dataset!$J:$J,"&gt;="&amp;$C77)+SUMIFS(Dataset!$AA:$AA,Dataset!$F:$F,'credito latam'!$D$11,Dataset!$AN:$AN,"AA",Dataset!$J:$J,"&lt;"&amp;$D77,Dataset!$J:$J,"&gt;="&amp;$C77)+SUMIFS(Dataset!$AA:$AA,Dataset!$F:$F,'credito latam'!$D$11,Dataset!$AN:$AN,"AA-",Dataset!$J:$J,"&lt;"&amp;$D77,Dataset!$J:$J,"&gt;="&amp;$C77)</f>
        <v>0</v>
      </c>
      <c r="U77" s="83">
        <f>SUMIFS(Dataset!$AA:$AA,Dataset!$F:$F,'credito latam'!$D$11,Dataset!$AN:$AN,U$65,Dataset!$J:$J,"&lt;"&amp;$D77,Dataset!$J:$J,"&gt;="&amp;$C77)</f>
        <v>0</v>
      </c>
      <c r="V77" s="83">
        <f>SUMIFS(Dataset!$AA:$AA,Dataset!$F:$F,'credito latam'!$D$11,Dataset!$AN:$AN,V$65,Dataset!$J:$J,"&lt;"&amp;$D77,Dataset!$J:$J,"&gt;="&amp;$C77)</f>
        <v>0</v>
      </c>
      <c r="W77" s="83">
        <f>SUMIFS(Dataset!$AA:$AA,Dataset!$F:$F,'credito latam'!$D$11,Dataset!$AN:$AN,W$65,Dataset!$J:$J,"&lt;"&amp;$D77,Dataset!$J:$J,"&gt;="&amp;$C77)</f>
        <v>0</v>
      </c>
      <c r="X77" s="83">
        <f>SUMIFS(Dataset!$AA:$AA,Dataset!$F:$F,'credito latam'!$D$11,Dataset!$AN:$AN,X$65,Dataset!$J:$J,"&lt;"&amp;$D77,Dataset!$J:$J,"&gt;="&amp;$C77)</f>
        <v>0</v>
      </c>
      <c r="Y77" s="83">
        <f>SUMIFS(Dataset!$AA:$AA,Dataset!$F:$F,'credito latam'!$D$11,Dataset!$AN:$AN,Y$65,Dataset!$J:$J,"&lt;"&amp;$D77,Dataset!$J:$J,"&gt;="&amp;$C77)</f>
        <v>0</v>
      </c>
      <c r="Z77" s="83">
        <f>SUMIFS(Dataset!$AA:$AA,Dataset!$F:$F,'credito latam'!$D$11,Dataset!$AN:$AN,Z$65,Dataset!$J:$J,"&lt;"&amp;$D77,Dataset!$J:$J,"&gt;="&amp;$C77)</f>
        <v>0</v>
      </c>
      <c r="AA77" s="83">
        <f>SUMIFS(Dataset!$AA:$AA,Dataset!$F:$F,'credito latam'!$D$11,Dataset!$AN:$AN,AA$65,Dataset!$J:$J,"&lt;"&amp;$D77,Dataset!$J:$J,"&gt;="&amp;$C77)</f>
        <v>0</v>
      </c>
      <c r="AB77" s="83">
        <f>SUMIFS(Dataset!$AA:$AA,Dataset!$F:$F,'credito latam'!$D$11,Dataset!$AN:$AN,AB$65,Dataset!$J:$J,"&lt;"&amp;$D77,Dataset!$J:$J,"&gt;="&amp;$C77)</f>
        <v>0</v>
      </c>
      <c r="AC77" s="83">
        <f>SUMIFS(Dataset!$AA:$AA,Dataset!$F:$F,'credito latam'!$D$11,Dataset!$AN:$AN,AC$65,Dataset!$J:$J,"&lt;"&amp;$D77,Dataset!$J:$J,"&gt;="&amp;$C77)</f>
        <v>0</v>
      </c>
      <c r="AD77" s="83">
        <f>SUMIFS(Dataset!$AA:$AA,Dataset!$F:$F,'credito latam'!$D$11,Dataset!$AN:$AN,"B-",Dataset!$J:$J,"&lt;"&amp;$D77,Dataset!$J:$J,"&gt;="&amp;$C77)+SUMIFS(Dataset!$AA:$AA,Dataset!$F:$F,'credito latam'!$D$11,Dataset!$AN:$AN,"B",Dataset!$J:$J,"&lt;"&amp;$D77,Dataset!$J:$J,"&gt;="&amp;$C77)+SUMIFS(Dataset!$AA:$AA,Dataset!$F:$F,'credito latam'!$D$11,Dataset!$AN:$AN,"B+",Dataset!$J:$J,"&lt;"&amp;$D77,Dataset!$J:$J,"&gt;="&amp;$C77)</f>
        <v>0</v>
      </c>
      <c r="AE77" s="114">
        <f>SUMIFS(Dataset!$AA:$AA,Dataset!$F:$F,'credito latam'!$D$11,Dataset!$AN:$AN,AE$65,Dataset!$J:$J,"&lt;"&amp;$D77,Dataset!$J:$J,"&gt;="&amp;$C77)</f>
        <v>0</v>
      </c>
      <c r="AF77" s="84">
        <f t="shared" si="8"/>
        <v>0</v>
      </c>
    </row>
    <row r="78" spans="3:32" ht="33" customHeight="1" x14ac:dyDescent="0.3">
      <c r="C78" s="61">
        <v>11.5</v>
      </c>
      <c r="D78" s="81">
        <v>12.5</v>
      </c>
      <c r="E78" s="113">
        <f>SUMIFS(Dataset!$AJ:$AJ,Dataset!$F:$F,'credito latam'!$D$11,Dataset!$AN:$AN,"*AAA*",Dataset!$J:$J,"&lt;"&amp;$D78,Dataset!$J:$J,"&gt;="&amp;$C78)</f>
        <v>0</v>
      </c>
      <c r="F78" s="101">
        <f>SUMIFS(Dataset!$AJ:$AJ,Dataset!$F:$F,'credito latam'!$D$11,Dataset!$AN:$AN,"AA+",Dataset!$J:$J,"&lt;"&amp;$D78,Dataset!$J:$J,"&gt;="&amp;$C78)+SUMIFS(Dataset!$AJ:$AJ,Dataset!$F:$F,'credito latam'!$D$11,Dataset!$AN:$AN,"AA",Dataset!$J:$J,"&lt;"&amp;$D78,Dataset!$J:$J,"&gt;="&amp;$C78)+SUMIFS(Dataset!$AJ:$AJ,Dataset!$F:$F,'credito latam'!$D$11,Dataset!$AN:$AN,"AA-",Dataset!$J:$J,"&lt;"&amp;$D78,Dataset!$J:$J,"&gt;="&amp;$C78)</f>
        <v>0</v>
      </c>
      <c r="G78" s="101">
        <f>SUMIFS(Dataset!$AJ:$AJ,Dataset!$F:$F,'credito latam'!$D$11,Dataset!$AN:$AN,G$65,Dataset!$J:$J,"&lt;"&amp;$D78,Dataset!$J:$J,"&gt;="&amp;$C78)</f>
        <v>0</v>
      </c>
      <c r="H78" s="101">
        <f>SUMIFS(Dataset!$AJ:$AJ,Dataset!$F:$F,'credito latam'!$D$11,Dataset!$AN:$AN,H$65,Dataset!$J:$J,"&lt;"&amp;$D78,Dataset!$J:$J,"&gt;="&amp;$C78)</f>
        <v>0</v>
      </c>
      <c r="I78" s="101">
        <f>SUMIFS(Dataset!$AJ:$AJ,Dataset!$F:$F,'credito latam'!$D$11,Dataset!$AN:$AN,I$65,Dataset!$J:$J,"&lt;"&amp;$D78,Dataset!$J:$J,"&gt;="&amp;$C78)</f>
        <v>0</v>
      </c>
      <c r="J78" s="101">
        <f>SUMIFS(Dataset!$AJ:$AJ,Dataset!$F:$F,'credito latam'!$D$11,Dataset!$AN:$AN,J$65,Dataset!$J:$J,"&lt;"&amp;$D78,Dataset!$J:$J,"&gt;="&amp;$C78)</f>
        <v>0</v>
      </c>
      <c r="K78" s="101">
        <f>SUMIFS(Dataset!$AJ:$AJ,Dataset!$F:$F,'credito latam'!$D$11,Dataset!$AN:$AN,K$65,Dataset!$J:$J,"&lt;"&amp;$D78,Dataset!$J:$J,"&gt;="&amp;$C78)</f>
        <v>0</v>
      </c>
      <c r="L78" s="101">
        <f>SUMIFS(Dataset!$AJ:$AJ,Dataset!$F:$F,'credito latam'!$D$11,Dataset!$AN:$AN,L$65,Dataset!$J:$J,"&lt;"&amp;$D78,Dataset!$J:$J,"&gt;="&amp;$C78)</f>
        <v>0</v>
      </c>
      <c r="M78" s="101">
        <f>SUMIFS(Dataset!$AJ:$AJ,Dataset!$F:$F,'credito latam'!$D$11,Dataset!$AN:$AN,M$65,Dataset!$J:$J,"&lt;"&amp;$D78,Dataset!$J:$J,"&gt;="&amp;$C78)</f>
        <v>0</v>
      </c>
      <c r="N78" s="101">
        <f>SUMIFS(Dataset!$AJ:$AJ,Dataset!$F:$F,'credito latam'!$D$11,Dataset!$AN:$AN,N$65,Dataset!$J:$J,"&lt;"&amp;$D78,Dataset!$J:$J,"&gt;="&amp;$C78)</f>
        <v>0</v>
      </c>
      <c r="O78" s="101">
        <f>SUMIFS(Dataset!$AJ:$AJ,Dataset!$F:$F,'credito latam'!$D$11,Dataset!$AN:$AN,O$65,Dataset!$J:$J,"&lt;"&amp;$D78,Dataset!$J:$J,"&gt;="&amp;$C78)</f>
        <v>0</v>
      </c>
      <c r="P78" s="101">
        <f>SUMIFS(Dataset!$AJ:$AJ,Dataset!$F:$F,'credito latam'!$D$11,Dataset!$AN:$AN,"B-",Dataset!$J:$J,"&lt;"&amp;$D78,Dataset!$J:$J,"&gt;="&amp;$C78)+SUMIFS(Dataset!$AJ:$AJ,Dataset!$F:$F,'credito latam'!$D$11,Dataset!$AN:$AN,"B",Dataset!$J:$J,"&lt;"&amp;$D78,Dataset!$J:$J,"&gt;="&amp;$C78)+SUMIFS(Dataset!$AJ:$AJ,Dataset!$F:$F,'credito latam'!$D$11,Dataset!$AN:$AN,"B+",Dataset!$J:$J,"&lt;"&amp;$D78,Dataset!$J:$J,"&gt;="&amp;$C78)</f>
        <v>0</v>
      </c>
      <c r="Q78" s="102">
        <f>SUMIFS(Dataset!$AJ:$AJ,Dataset!$F:$F,'credito latam'!$D$11,Dataset!$AN:$AN,Q$65,Dataset!$J:$J,"&lt;"&amp;$D78,Dataset!$J:$J,"&gt;="&amp;$C78)</f>
        <v>0</v>
      </c>
      <c r="R78" s="84">
        <f t="shared" si="7"/>
        <v>0</v>
      </c>
      <c r="S78" s="113">
        <f>SUMIFS(Dataset!$AA:$AA,Dataset!$F:$F,'credito latam'!$D$11,Dataset!$AN:$AN,"*AAA*",Dataset!$J:$J,"&lt;"&amp;$D78,Dataset!$J:$J,"&gt;="&amp;$C78)</f>
        <v>0</v>
      </c>
      <c r="T78" s="101">
        <f>SUMIFS(Dataset!$AA:$AA,Dataset!$F:$F,'credito latam'!$D$11,Dataset!$AN:$AN,"AA+",Dataset!$J:$J,"&lt;"&amp;$D78,Dataset!$J:$J,"&gt;="&amp;$C78)+SUMIFS(Dataset!$AA:$AA,Dataset!$F:$F,'credito latam'!$D$11,Dataset!$AN:$AN,"AA",Dataset!$J:$J,"&lt;"&amp;$D78,Dataset!$J:$J,"&gt;="&amp;$C78)+SUMIFS(Dataset!$AA:$AA,Dataset!$F:$F,'credito latam'!$D$11,Dataset!$AN:$AN,"AA-",Dataset!$J:$J,"&lt;"&amp;$D78,Dataset!$J:$J,"&gt;="&amp;$C78)</f>
        <v>0</v>
      </c>
      <c r="U78" s="101">
        <f>SUMIFS(Dataset!$AA:$AA,Dataset!$F:$F,'credito latam'!$D$11,Dataset!$AN:$AN,U$65,Dataset!$J:$J,"&lt;"&amp;$D78,Dataset!$J:$J,"&gt;="&amp;$C78)</f>
        <v>0</v>
      </c>
      <c r="V78" s="101">
        <f>SUMIFS(Dataset!$AA:$AA,Dataset!$F:$F,'credito latam'!$D$11,Dataset!$AN:$AN,V$65,Dataset!$J:$J,"&lt;"&amp;$D78,Dataset!$J:$J,"&gt;="&amp;$C78)</f>
        <v>0</v>
      </c>
      <c r="W78" s="101">
        <f>SUMIFS(Dataset!$AA:$AA,Dataset!$F:$F,'credito latam'!$D$11,Dataset!$AN:$AN,W$65,Dataset!$J:$J,"&lt;"&amp;$D78,Dataset!$J:$J,"&gt;="&amp;$C78)</f>
        <v>0</v>
      </c>
      <c r="X78" s="101">
        <f>SUMIFS(Dataset!$AA:$AA,Dataset!$F:$F,'credito latam'!$D$11,Dataset!$AN:$AN,X$65,Dataset!$J:$J,"&lt;"&amp;$D78,Dataset!$J:$J,"&gt;="&amp;$C78)</f>
        <v>0</v>
      </c>
      <c r="Y78" s="101">
        <f>SUMIFS(Dataset!$AA:$AA,Dataset!$F:$F,'credito latam'!$D$11,Dataset!$AN:$AN,Y$65,Dataset!$J:$J,"&lt;"&amp;$D78,Dataset!$J:$J,"&gt;="&amp;$C78)</f>
        <v>0</v>
      </c>
      <c r="Z78" s="101">
        <f>SUMIFS(Dataset!$AA:$AA,Dataset!$F:$F,'credito latam'!$D$11,Dataset!$AN:$AN,Z$65,Dataset!$J:$J,"&lt;"&amp;$D78,Dataset!$J:$J,"&gt;="&amp;$C78)</f>
        <v>0</v>
      </c>
      <c r="AA78" s="101">
        <f>SUMIFS(Dataset!$AA:$AA,Dataset!$F:$F,'credito latam'!$D$11,Dataset!$AN:$AN,AA$65,Dataset!$J:$J,"&lt;"&amp;$D78,Dataset!$J:$J,"&gt;="&amp;$C78)</f>
        <v>0</v>
      </c>
      <c r="AB78" s="101">
        <f>SUMIFS(Dataset!$AA:$AA,Dataset!$F:$F,'credito latam'!$D$11,Dataset!$AN:$AN,AB$65,Dataset!$J:$J,"&lt;"&amp;$D78,Dataset!$J:$J,"&gt;="&amp;$C78)</f>
        <v>0</v>
      </c>
      <c r="AC78" s="101">
        <f>SUMIFS(Dataset!$AA:$AA,Dataset!$F:$F,'credito latam'!$D$11,Dataset!$AN:$AN,AC$65,Dataset!$J:$J,"&lt;"&amp;$D78,Dataset!$J:$J,"&gt;="&amp;$C78)</f>
        <v>0</v>
      </c>
      <c r="AD78" s="101">
        <f>SUMIFS(Dataset!$AA:$AA,Dataset!$F:$F,'credito latam'!$D$11,Dataset!$AN:$AN,"B-",Dataset!$J:$J,"&lt;"&amp;$D78,Dataset!$J:$J,"&gt;="&amp;$C78)+SUMIFS(Dataset!$AA:$AA,Dataset!$F:$F,'credito latam'!$D$11,Dataset!$AN:$AN,"B",Dataset!$J:$J,"&lt;"&amp;$D78,Dataset!$J:$J,"&gt;="&amp;$C78)+SUMIFS(Dataset!$AA:$AA,Dataset!$F:$F,'credito latam'!$D$11,Dataset!$AN:$AN,"B+",Dataset!$J:$J,"&lt;"&amp;$D78,Dataset!$J:$J,"&gt;="&amp;$C78)</f>
        <v>0</v>
      </c>
      <c r="AE78" s="102">
        <f>SUMIFS(Dataset!$AA:$AA,Dataset!$F:$F,'credito latam'!$D$11,Dataset!$AN:$AN,AE$65,Dataset!$J:$J,"&lt;"&amp;$D78,Dataset!$J:$J,"&gt;="&amp;$C78)</f>
        <v>0</v>
      </c>
      <c r="AF78" s="84">
        <f t="shared" si="8"/>
        <v>0</v>
      </c>
    </row>
    <row r="79" spans="3:32" ht="33" customHeight="1" x14ac:dyDescent="0.3">
      <c r="C79" s="61">
        <v>12.5</v>
      </c>
      <c r="D79" s="81">
        <v>13.5</v>
      </c>
      <c r="E79" s="113">
        <f>SUMIFS(Dataset!$AJ:$AJ,Dataset!$F:$F,'credito latam'!$D$11,Dataset!$AN:$AN,"*AAA*",Dataset!$J:$J,"&lt;"&amp;$D79,Dataset!$J:$J,"&gt;="&amp;$C79)</f>
        <v>0</v>
      </c>
      <c r="F79" s="83">
        <f>SUMIFS(Dataset!$AJ:$AJ,Dataset!$F:$F,'credito latam'!$D$11,Dataset!$AN:$AN,"AA+",Dataset!$J:$J,"&lt;"&amp;$D79,Dataset!$J:$J,"&gt;="&amp;$C79)+SUMIFS(Dataset!$AJ:$AJ,Dataset!$F:$F,'credito latam'!$D$11,Dataset!$AN:$AN,"AA",Dataset!$J:$J,"&lt;"&amp;$D79,Dataset!$J:$J,"&gt;="&amp;$C79)+SUMIFS(Dataset!$AJ:$AJ,Dataset!$F:$F,'credito latam'!$D$11,Dataset!$AN:$AN,"AA-",Dataset!$J:$J,"&lt;"&amp;$D79,Dataset!$J:$J,"&gt;="&amp;$C79)</f>
        <v>0</v>
      </c>
      <c r="G79" s="83">
        <f>SUMIFS(Dataset!$AJ:$AJ,Dataset!$F:$F,'credito latam'!$D$11,Dataset!$AN:$AN,G$65,Dataset!$J:$J,"&lt;"&amp;$D79,Dataset!$J:$J,"&gt;="&amp;$C79)</f>
        <v>0</v>
      </c>
      <c r="H79" s="83">
        <f>SUMIFS(Dataset!$AJ:$AJ,Dataset!$F:$F,'credito latam'!$D$11,Dataset!$AN:$AN,H$65,Dataset!$J:$J,"&lt;"&amp;$D79,Dataset!$J:$J,"&gt;="&amp;$C79)</f>
        <v>0</v>
      </c>
      <c r="I79" s="83">
        <f>SUMIFS(Dataset!$AJ:$AJ,Dataset!$F:$F,'credito latam'!$D$11,Dataset!$AN:$AN,I$65,Dataset!$J:$J,"&lt;"&amp;$D79,Dataset!$J:$J,"&gt;="&amp;$C79)</f>
        <v>0</v>
      </c>
      <c r="J79" s="83">
        <f>SUMIFS(Dataset!$AJ:$AJ,Dataset!$F:$F,'credito latam'!$D$11,Dataset!$AN:$AN,J$65,Dataset!$J:$J,"&lt;"&amp;$D79,Dataset!$J:$J,"&gt;="&amp;$C79)</f>
        <v>0</v>
      </c>
      <c r="K79" s="83">
        <f>SUMIFS(Dataset!$AJ:$AJ,Dataset!$F:$F,'credito latam'!$D$11,Dataset!$AN:$AN,K$65,Dataset!$J:$J,"&lt;"&amp;$D79,Dataset!$J:$J,"&gt;="&amp;$C79)</f>
        <v>0</v>
      </c>
      <c r="L79" s="83">
        <f>SUMIFS(Dataset!$AJ:$AJ,Dataset!$F:$F,'credito latam'!$D$11,Dataset!$AN:$AN,L$65,Dataset!$J:$J,"&lt;"&amp;$D79,Dataset!$J:$J,"&gt;="&amp;$C79)</f>
        <v>0</v>
      </c>
      <c r="M79" s="83">
        <f>SUMIFS(Dataset!$AJ:$AJ,Dataset!$F:$F,'credito latam'!$D$11,Dataset!$AN:$AN,M$65,Dataset!$J:$J,"&lt;"&amp;$D79,Dataset!$J:$J,"&gt;="&amp;$C79)</f>
        <v>0</v>
      </c>
      <c r="N79" s="83">
        <f>SUMIFS(Dataset!$AJ:$AJ,Dataset!$F:$F,'credito latam'!$D$11,Dataset!$AN:$AN,N$65,Dataset!$J:$J,"&lt;"&amp;$D79,Dataset!$J:$J,"&gt;="&amp;$C79)</f>
        <v>0</v>
      </c>
      <c r="O79" s="83">
        <f>SUMIFS(Dataset!$AJ:$AJ,Dataset!$F:$F,'credito latam'!$D$11,Dataset!$AN:$AN,O$65,Dataset!$J:$J,"&lt;"&amp;$D79,Dataset!$J:$J,"&gt;="&amp;$C79)</f>
        <v>0</v>
      </c>
      <c r="P79" s="83">
        <f>SUMIFS(Dataset!$AJ:$AJ,Dataset!$F:$F,'credito latam'!$D$11,Dataset!$AN:$AN,"B-",Dataset!$J:$J,"&lt;"&amp;$D79,Dataset!$J:$J,"&gt;="&amp;$C79)+SUMIFS(Dataset!$AJ:$AJ,Dataset!$F:$F,'credito latam'!$D$11,Dataset!$AN:$AN,"B",Dataset!$J:$J,"&lt;"&amp;$D79,Dataset!$J:$J,"&gt;="&amp;$C79)+SUMIFS(Dataset!$AJ:$AJ,Dataset!$F:$F,'credito latam'!$D$11,Dataset!$AN:$AN,"B+",Dataset!$J:$J,"&lt;"&amp;$D79,Dataset!$J:$J,"&gt;="&amp;$C79)</f>
        <v>0</v>
      </c>
      <c r="Q79" s="114">
        <f>SUMIFS(Dataset!$AJ:$AJ,Dataset!$F:$F,'credito latam'!$D$11,Dataset!$AN:$AN,Q$65,Dataset!$J:$J,"&lt;"&amp;$D79,Dataset!$J:$J,"&gt;="&amp;$C79)</f>
        <v>0</v>
      </c>
      <c r="R79" s="84">
        <f t="shared" si="7"/>
        <v>0</v>
      </c>
      <c r="S79" s="113">
        <f>SUMIFS(Dataset!$AA:$AA,Dataset!$F:$F,'credito latam'!$D$11,Dataset!$AN:$AN,"*AAA*",Dataset!$J:$J,"&lt;"&amp;$D79,Dataset!$J:$J,"&gt;="&amp;$C79)</f>
        <v>0</v>
      </c>
      <c r="T79" s="83">
        <f>SUMIFS(Dataset!$AA:$AA,Dataset!$F:$F,'credito latam'!$D$11,Dataset!$AN:$AN,"AA+",Dataset!$J:$J,"&lt;"&amp;$D79,Dataset!$J:$J,"&gt;="&amp;$C79)+SUMIFS(Dataset!$AA:$AA,Dataset!$F:$F,'credito latam'!$D$11,Dataset!$AN:$AN,"AA",Dataset!$J:$J,"&lt;"&amp;$D79,Dataset!$J:$J,"&gt;="&amp;$C79)+SUMIFS(Dataset!$AA:$AA,Dataset!$F:$F,'credito latam'!$D$11,Dataset!$AN:$AN,"AA-",Dataset!$J:$J,"&lt;"&amp;$D79,Dataset!$J:$J,"&gt;="&amp;$C79)</f>
        <v>0</v>
      </c>
      <c r="U79" s="83">
        <f>SUMIFS(Dataset!$AA:$AA,Dataset!$F:$F,'credito latam'!$D$11,Dataset!$AN:$AN,U$65,Dataset!$J:$J,"&lt;"&amp;$D79,Dataset!$J:$J,"&gt;="&amp;$C79)</f>
        <v>0</v>
      </c>
      <c r="V79" s="83">
        <f>SUMIFS(Dataset!$AA:$AA,Dataset!$F:$F,'credito latam'!$D$11,Dataset!$AN:$AN,V$65,Dataset!$J:$J,"&lt;"&amp;$D79,Dataset!$J:$J,"&gt;="&amp;$C79)</f>
        <v>0</v>
      </c>
      <c r="W79" s="83">
        <f>SUMIFS(Dataset!$AA:$AA,Dataset!$F:$F,'credito latam'!$D$11,Dataset!$AN:$AN,W$65,Dataset!$J:$J,"&lt;"&amp;$D79,Dataset!$J:$J,"&gt;="&amp;$C79)</f>
        <v>0</v>
      </c>
      <c r="X79" s="83">
        <f>SUMIFS(Dataset!$AA:$AA,Dataset!$F:$F,'credito latam'!$D$11,Dataset!$AN:$AN,X$65,Dataset!$J:$J,"&lt;"&amp;$D79,Dataset!$J:$J,"&gt;="&amp;$C79)</f>
        <v>0</v>
      </c>
      <c r="Y79" s="83">
        <f>SUMIFS(Dataset!$AA:$AA,Dataset!$F:$F,'credito latam'!$D$11,Dataset!$AN:$AN,Y$65,Dataset!$J:$J,"&lt;"&amp;$D79,Dataset!$J:$J,"&gt;="&amp;$C79)</f>
        <v>0</v>
      </c>
      <c r="Z79" s="83">
        <f>SUMIFS(Dataset!$AA:$AA,Dataset!$F:$F,'credito latam'!$D$11,Dataset!$AN:$AN,Z$65,Dataset!$J:$J,"&lt;"&amp;$D79,Dataset!$J:$J,"&gt;="&amp;$C79)</f>
        <v>0</v>
      </c>
      <c r="AA79" s="83">
        <f>SUMIFS(Dataset!$AA:$AA,Dataset!$F:$F,'credito latam'!$D$11,Dataset!$AN:$AN,AA$65,Dataset!$J:$J,"&lt;"&amp;$D79,Dataset!$J:$J,"&gt;="&amp;$C79)</f>
        <v>0</v>
      </c>
      <c r="AB79" s="83">
        <f>SUMIFS(Dataset!$AA:$AA,Dataset!$F:$F,'credito latam'!$D$11,Dataset!$AN:$AN,AB$65,Dataset!$J:$J,"&lt;"&amp;$D79,Dataset!$J:$J,"&gt;="&amp;$C79)</f>
        <v>0</v>
      </c>
      <c r="AC79" s="83">
        <f>SUMIFS(Dataset!$AA:$AA,Dataset!$F:$F,'credito latam'!$D$11,Dataset!$AN:$AN,AC$65,Dataset!$J:$J,"&lt;"&amp;$D79,Dataset!$J:$J,"&gt;="&amp;$C79)</f>
        <v>0</v>
      </c>
      <c r="AD79" s="83">
        <f>SUMIFS(Dataset!$AA:$AA,Dataset!$F:$F,'credito latam'!$D$11,Dataset!$AN:$AN,"B-",Dataset!$J:$J,"&lt;"&amp;$D79,Dataset!$J:$J,"&gt;="&amp;$C79)+SUMIFS(Dataset!$AA:$AA,Dataset!$F:$F,'credito latam'!$D$11,Dataset!$AN:$AN,"B",Dataset!$J:$J,"&lt;"&amp;$D79,Dataset!$J:$J,"&gt;="&amp;$C79)+SUMIFS(Dataset!$AA:$AA,Dataset!$F:$F,'credito latam'!$D$11,Dataset!$AN:$AN,"B+",Dataset!$J:$J,"&lt;"&amp;$D79,Dataset!$J:$J,"&gt;="&amp;$C79)</f>
        <v>0</v>
      </c>
      <c r="AE79" s="114">
        <f>SUMIFS(Dataset!$AA:$AA,Dataset!$F:$F,'credito latam'!$D$11,Dataset!$AN:$AN,AE$65,Dataset!$J:$J,"&lt;"&amp;$D79,Dataset!$J:$J,"&gt;="&amp;$C79)</f>
        <v>0</v>
      </c>
      <c r="AF79" s="84">
        <f t="shared" si="8"/>
        <v>0</v>
      </c>
    </row>
    <row r="80" spans="3:32" ht="33" customHeight="1" x14ac:dyDescent="0.3">
      <c r="C80" s="61">
        <v>13.5</v>
      </c>
      <c r="D80" s="81">
        <v>14.5</v>
      </c>
      <c r="E80" s="113">
        <f>SUMIFS(Dataset!$AJ:$AJ,Dataset!$F:$F,'credito latam'!$D$11,Dataset!$AN:$AN,"*AAA*",Dataset!$J:$J,"&lt;"&amp;$D80,Dataset!$J:$J,"&gt;="&amp;$C80)</f>
        <v>0</v>
      </c>
      <c r="F80" s="101">
        <f>SUMIFS(Dataset!$AJ:$AJ,Dataset!$F:$F,'credito latam'!$D$11,Dataset!$AN:$AN,"AA+",Dataset!$J:$J,"&lt;"&amp;$D80,Dataset!$J:$J,"&gt;="&amp;$C80)+SUMIFS(Dataset!$AJ:$AJ,Dataset!$F:$F,'credito latam'!$D$11,Dataset!$AN:$AN,"AA",Dataset!$J:$J,"&lt;"&amp;$D80,Dataset!$J:$J,"&gt;="&amp;$C80)+SUMIFS(Dataset!$AJ:$AJ,Dataset!$F:$F,'credito latam'!$D$11,Dataset!$AN:$AN,"AA-",Dataset!$J:$J,"&lt;"&amp;$D80,Dataset!$J:$J,"&gt;="&amp;$C80)</f>
        <v>0</v>
      </c>
      <c r="G80" s="101">
        <f>SUMIFS(Dataset!$AJ:$AJ,Dataset!$F:$F,'credito latam'!$D$11,Dataset!$AN:$AN,G$65,Dataset!$J:$J,"&lt;"&amp;$D80,Dataset!$J:$J,"&gt;="&amp;$C80)</f>
        <v>0</v>
      </c>
      <c r="H80" s="101">
        <f>SUMIFS(Dataset!$AJ:$AJ,Dataset!$F:$F,'credito latam'!$D$11,Dataset!$AN:$AN,H$65,Dataset!$J:$J,"&lt;"&amp;$D80,Dataset!$J:$J,"&gt;="&amp;$C80)</f>
        <v>0</v>
      </c>
      <c r="I80" s="101">
        <f>SUMIFS(Dataset!$AJ:$AJ,Dataset!$F:$F,'credito latam'!$D$11,Dataset!$AN:$AN,I$65,Dataset!$J:$J,"&lt;"&amp;$D80,Dataset!$J:$J,"&gt;="&amp;$C80)</f>
        <v>0</v>
      </c>
      <c r="J80" s="101">
        <f>SUMIFS(Dataset!$AJ:$AJ,Dataset!$F:$F,'credito latam'!$D$11,Dataset!$AN:$AN,J$65,Dataset!$J:$J,"&lt;"&amp;$D80,Dataset!$J:$J,"&gt;="&amp;$C80)</f>
        <v>0</v>
      </c>
      <c r="K80" s="101">
        <f>SUMIFS(Dataset!$AJ:$AJ,Dataset!$F:$F,'credito latam'!$D$11,Dataset!$AN:$AN,K$65,Dataset!$J:$J,"&lt;"&amp;$D80,Dataset!$J:$J,"&gt;="&amp;$C80)</f>
        <v>0</v>
      </c>
      <c r="L80" s="101">
        <f>SUMIFS(Dataset!$AJ:$AJ,Dataset!$F:$F,'credito latam'!$D$11,Dataset!$AN:$AN,L$65,Dataset!$J:$J,"&lt;"&amp;$D80,Dataset!$J:$J,"&gt;="&amp;$C80)</f>
        <v>0</v>
      </c>
      <c r="M80" s="101">
        <f>SUMIFS(Dataset!$AJ:$AJ,Dataset!$F:$F,'credito latam'!$D$11,Dataset!$AN:$AN,M$65,Dataset!$J:$J,"&lt;"&amp;$D80,Dataset!$J:$J,"&gt;="&amp;$C80)</f>
        <v>0</v>
      </c>
      <c r="N80" s="101">
        <f>SUMIFS(Dataset!$AJ:$AJ,Dataset!$F:$F,'credito latam'!$D$11,Dataset!$AN:$AN,N$65,Dataset!$J:$J,"&lt;"&amp;$D80,Dataset!$J:$J,"&gt;="&amp;$C80)</f>
        <v>0</v>
      </c>
      <c r="O80" s="101">
        <f>SUMIFS(Dataset!$AJ:$AJ,Dataset!$F:$F,'credito latam'!$D$11,Dataset!$AN:$AN,O$65,Dataset!$J:$J,"&lt;"&amp;$D80,Dataset!$J:$J,"&gt;="&amp;$C80)</f>
        <v>0</v>
      </c>
      <c r="P80" s="101">
        <f>SUMIFS(Dataset!$AJ:$AJ,Dataset!$F:$F,'credito latam'!$D$11,Dataset!$AN:$AN,"B-",Dataset!$J:$J,"&lt;"&amp;$D80,Dataset!$J:$J,"&gt;="&amp;$C80)+SUMIFS(Dataset!$AJ:$AJ,Dataset!$F:$F,'credito latam'!$D$11,Dataset!$AN:$AN,"B",Dataset!$J:$J,"&lt;"&amp;$D80,Dataset!$J:$J,"&gt;="&amp;$C80)+SUMIFS(Dataset!$AJ:$AJ,Dataset!$F:$F,'credito latam'!$D$11,Dataset!$AN:$AN,"B+",Dataset!$J:$J,"&lt;"&amp;$D80,Dataset!$J:$J,"&gt;="&amp;$C80)</f>
        <v>0</v>
      </c>
      <c r="Q80" s="102">
        <f>SUMIFS(Dataset!$AJ:$AJ,Dataset!$F:$F,'credito latam'!$D$11,Dataset!$AN:$AN,Q$65,Dataset!$J:$J,"&lt;"&amp;$D80,Dataset!$J:$J,"&gt;="&amp;$C80)</f>
        <v>0</v>
      </c>
      <c r="R80" s="84">
        <f t="shared" si="7"/>
        <v>0</v>
      </c>
      <c r="S80" s="113">
        <f>SUMIFS(Dataset!$AA:$AA,Dataset!$F:$F,'credito latam'!$D$11,Dataset!$AN:$AN,"*AAA*",Dataset!$J:$J,"&lt;"&amp;$D80,Dataset!$J:$J,"&gt;="&amp;$C80)</f>
        <v>0</v>
      </c>
      <c r="T80" s="101">
        <f>SUMIFS(Dataset!$AA:$AA,Dataset!$F:$F,'credito latam'!$D$11,Dataset!$AN:$AN,"AA+",Dataset!$J:$J,"&lt;"&amp;$D80,Dataset!$J:$J,"&gt;="&amp;$C80)+SUMIFS(Dataset!$AA:$AA,Dataset!$F:$F,'credito latam'!$D$11,Dataset!$AN:$AN,"AA",Dataset!$J:$J,"&lt;"&amp;$D80,Dataset!$J:$J,"&gt;="&amp;$C80)+SUMIFS(Dataset!$AA:$AA,Dataset!$F:$F,'credito latam'!$D$11,Dataset!$AN:$AN,"AA-",Dataset!$J:$J,"&lt;"&amp;$D80,Dataset!$J:$J,"&gt;="&amp;$C80)</f>
        <v>0</v>
      </c>
      <c r="U80" s="101">
        <f>SUMIFS(Dataset!$AA:$AA,Dataset!$F:$F,'credito latam'!$D$11,Dataset!$AN:$AN,U$65,Dataset!$J:$J,"&lt;"&amp;$D80,Dataset!$J:$J,"&gt;="&amp;$C80)</f>
        <v>0</v>
      </c>
      <c r="V80" s="101">
        <f>SUMIFS(Dataset!$AA:$AA,Dataset!$F:$F,'credito latam'!$D$11,Dataset!$AN:$AN,V$65,Dataset!$J:$J,"&lt;"&amp;$D80,Dataset!$J:$J,"&gt;="&amp;$C80)</f>
        <v>0</v>
      </c>
      <c r="W80" s="101">
        <f>SUMIFS(Dataset!$AA:$AA,Dataset!$F:$F,'credito latam'!$D$11,Dataset!$AN:$AN,W$65,Dataset!$J:$J,"&lt;"&amp;$D80,Dataset!$J:$J,"&gt;="&amp;$C80)</f>
        <v>0</v>
      </c>
      <c r="X80" s="101">
        <f>SUMIFS(Dataset!$AA:$AA,Dataset!$F:$F,'credito latam'!$D$11,Dataset!$AN:$AN,X$65,Dataset!$J:$J,"&lt;"&amp;$D80,Dataset!$J:$J,"&gt;="&amp;$C80)</f>
        <v>0</v>
      </c>
      <c r="Y80" s="101">
        <f>SUMIFS(Dataset!$AA:$AA,Dataset!$F:$F,'credito latam'!$D$11,Dataset!$AN:$AN,Y$65,Dataset!$J:$J,"&lt;"&amp;$D80,Dataset!$J:$J,"&gt;="&amp;$C80)</f>
        <v>0</v>
      </c>
      <c r="Z80" s="101">
        <f>SUMIFS(Dataset!$AA:$AA,Dataset!$F:$F,'credito latam'!$D$11,Dataset!$AN:$AN,Z$65,Dataset!$J:$J,"&lt;"&amp;$D80,Dataset!$J:$J,"&gt;="&amp;$C80)</f>
        <v>0</v>
      </c>
      <c r="AA80" s="101">
        <f>SUMIFS(Dataset!$AA:$AA,Dataset!$F:$F,'credito latam'!$D$11,Dataset!$AN:$AN,AA$65,Dataset!$J:$J,"&lt;"&amp;$D80,Dataset!$J:$J,"&gt;="&amp;$C80)</f>
        <v>0</v>
      </c>
      <c r="AB80" s="101">
        <f>SUMIFS(Dataset!$AA:$AA,Dataset!$F:$F,'credito latam'!$D$11,Dataset!$AN:$AN,AB$65,Dataset!$J:$J,"&lt;"&amp;$D80,Dataset!$J:$J,"&gt;="&amp;$C80)</f>
        <v>0</v>
      </c>
      <c r="AC80" s="101">
        <f>SUMIFS(Dataset!$AA:$AA,Dataset!$F:$F,'credito latam'!$D$11,Dataset!$AN:$AN,AC$65,Dataset!$J:$J,"&lt;"&amp;$D80,Dataset!$J:$J,"&gt;="&amp;$C80)</f>
        <v>0</v>
      </c>
      <c r="AD80" s="101">
        <f>SUMIFS(Dataset!$AA:$AA,Dataset!$F:$F,'credito latam'!$D$11,Dataset!$AN:$AN,"B-",Dataset!$J:$J,"&lt;"&amp;$D80,Dataset!$J:$J,"&gt;="&amp;$C80)+SUMIFS(Dataset!$AA:$AA,Dataset!$F:$F,'credito latam'!$D$11,Dataset!$AN:$AN,"B",Dataset!$J:$J,"&lt;"&amp;$D80,Dataset!$J:$J,"&gt;="&amp;$C80)+SUMIFS(Dataset!$AA:$AA,Dataset!$F:$F,'credito latam'!$D$11,Dataset!$AN:$AN,"B+",Dataset!$J:$J,"&lt;"&amp;$D80,Dataset!$J:$J,"&gt;="&amp;$C80)</f>
        <v>0</v>
      </c>
      <c r="AE80" s="102">
        <f>SUMIFS(Dataset!$AA:$AA,Dataset!$F:$F,'credito latam'!$D$11,Dataset!$AN:$AN,AE$65,Dataset!$J:$J,"&lt;"&amp;$D80,Dataset!$J:$J,"&gt;="&amp;$C80)</f>
        <v>0</v>
      </c>
      <c r="AF80" s="84">
        <f t="shared" si="8"/>
        <v>0</v>
      </c>
    </row>
    <row r="81" spans="2:32" ht="33" customHeight="1" x14ac:dyDescent="0.3">
      <c r="C81" s="61">
        <v>14.5</v>
      </c>
      <c r="D81" s="81">
        <v>100</v>
      </c>
      <c r="E81" s="119">
        <f>SUMIFS(Dataset!$AJ:$AJ,Dataset!$F:$F,'credito latam'!$D$11,Dataset!$AN:$AN,"*AAA*",Dataset!$J:$J,"&lt;"&amp;$D81,Dataset!$J:$J,"&gt;="&amp;$C81)</f>
        <v>0</v>
      </c>
      <c r="F81" s="89">
        <f>SUMIFS(Dataset!$AJ:$AJ,Dataset!$F:$F,'credito latam'!$D$11,Dataset!$AN:$AN,"AA+",Dataset!$J:$J,"&lt;"&amp;$D81,Dataset!$J:$J,"&gt;="&amp;$C81)+SUMIFS(Dataset!$AJ:$AJ,Dataset!$F:$F,'credito latam'!$D$11,Dataset!$AN:$AN,"AA",Dataset!$J:$J,"&lt;"&amp;$D81,Dataset!$J:$J,"&gt;="&amp;$C81)+SUMIFS(Dataset!$AJ:$AJ,Dataset!$F:$F,'credito latam'!$D$11,Dataset!$AN:$AN,"AA-",Dataset!$J:$J,"&lt;"&amp;$D81,Dataset!$J:$J,"&gt;="&amp;$C81)</f>
        <v>0</v>
      </c>
      <c r="G81" s="89">
        <f>SUMIFS(Dataset!$AJ:$AJ,Dataset!$F:$F,'credito latam'!$D$11,Dataset!$AN:$AN,G$65,Dataset!$J:$J,"&lt;"&amp;$D81,Dataset!$J:$J,"&gt;="&amp;$C81)</f>
        <v>0</v>
      </c>
      <c r="H81" s="89">
        <f>SUMIFS(Dataset!$AJ:$AJ,Dataset!$F:$F,'credito latam'!$D$11,Dataset!$AN:$AN,H$65,Dataset!$J:$J,"&lt;"&amp;$D81,Dataset!$J:$J,"&gt;="&amp;$C81)</f>
        <v>0</v>
      </c>
      <c r="I81" s="89">
        <f>SUMIFS(Dataset!$AJ:$AJ,Dataset!$F:$F,'credito latam'!$D$11,Dataset!$AN:$AN,I$65,Dataset!$J:$J,"&lt;"&amp;$D81,Dataset!$J:$J,"&gt;="&amp;$C81)</f>
        <v>0</v>
      </c>
      <c r="J81" s="89">
        <f>SUMIFS(Dataset!$AJ:$AJ,Dataset!$F:$F,'credito latam'!$D$11,Dataset!$AN:$AN,J$65,Dataset!$J:$J,"&lt;"&amp;$D81,Dataset!$J:$J,"&gt;="&amp;$C81)</f>
        <v>0</v>
      </c>
      <c r="K81" s="89">
        <f>SUMIFS(Dataset!$AJ:$AJ,Dataset!$F:$F,'credito latam'!$D$11,Dataset!$AN:$AN,K$65,Dataset!$J:$J,"&lt;"&amp;$D81,Dataset!$J:$J,"&gt;="&amp;$C81)</f>
        <v>0</v>
      </c>
      <c r="L81" s="89">
        <f>SUMIFS(Dataset!$AJ:$AJ,Dataset!$F:$F,'credito latam'!$D$11,Dataset!$AN:$AN,L$65,Dataset!$J:$J,"&lt;"&amp;$D81,Dataset!$J:$J,"&gt;="&amp;$C81)</f>
        <v>0</v>
      </c>
      <c r="M81" s="89">
        <f>SUMIFS(Dataset!$AJ:$AJ,Dataset!$F:$F,'credito latam'!$D$11,Dataset!$AN:$AN,M$65,Dataset!$J:$J,"&lt;"&amp;$D81,Dataset!$J:$J,"&gt;="&amp;$C81)</f>
        <v>0</v>
      </c>
      <c r="N81" s="89">
        <f>SUMIFS(Dataset!$AJ:$AJ,Dataset!$F:$F,'credito latam'!$D$11,Dataset!$AN:$AN,N$65,Dataset!$J:$J,"&lt;"&amp;$D81,Dataset!$J:$J,"&gt;="&amp;$C81)</f>
        <v>0</v>
      </c>
      <c r="O81" s="83">
        <f>SUMIFS(Dataset!$AJ:$AJ,Dataset!$F:$F,'credito latam'!$D$11,Dataset!$AN:$AN,O$65,Dataset!$J:$J,"&lt;"&amp;$D81,Dataset!$J:$J,"&gt;="&amp;$C81)</f>
        <v>0</v>
      </c>
      <c r="P81" s="83">
        <f>SUMIFS(Dataset!$AJ:$AJ,Dataset!$F:$F,'credito latam'!$D$11,Dataset!$AN:$AN,"B-",Dataset!$J:$J,"&lt;"&amp;$D81,Dataset!$J:$J,"&gt;="&amp;$C81)+SUMIFS(Dataset!$AJ:$AJ,Dataset!$F:$F,'credito latam'!$D$11,Dataset!$AN:$AN,"B",Dataset!$J:$J,"&lt;"&amp;$D81,Dataset!$J:$J,"&gt;="&amp;$C81)+SUMIFS(Dataset!$AJ:$AJ,Dataset!$F:$F,'credito latam'!$D$11,Dataset!$AN:$AN,"B+",Dataset!$J:$J,"&lt;"&amp;$D81,Dataset!$J:$J,"&gt;="&amp;$C81)</f>
        <v>0</v>
      </c>
      <c r="Q81" s="120">
        <f>SUMIFS(Dataset!$AJ:$AJ,Dataset!$F:$F,'credito latam'!$D$11,Dataset!$AN:$AN,Q$65,Dataset!$J:$J,"&lt;"&amp;$D81,Dataset!$J:$J,"&gt;="&amp;$C81)</f>
        <v>0</v>
      </c>
      <c r="R81" s="90">
        <f t="shared" si="7"/>
        <v>0</v>
      </c>
      <c r="S81" s="119">
        <f>SUMIFS(Dataset!$AA:$AA,Dataset!$F:$F,'credito latam'!$D$11,Dataset!$AN:$AN,"*AAA*",Dataset!$J:$J,"&lt;"&amp;$D81,Dataset!$J:$J,"&gt;="&amp;$C81)</f>
        <v>0</v>
      </c>
      <c r="T81" s="89">
        <f>SUMIFS(Dataset!$AA:$AA,Dataset!$F:$F,'credito latam'!$D$11,Dataset!$AN:$AN,"AA+",Dataset!$J:$J,"&lt;"&amp;$D81,Dataset!$J:$J,"&gt;="&amp;$C81)+SUMIFS(Dataset!$AA:$AA,Dataset!$F:$F,'credito latam'!$D$11,Dataset!$AN:$AN,"AA",Dataset!$J:$J,"&lt;"&amp;$D81,Dataset!$J:$J,"&gt;="&amp;$C81)+SUMIFS(Dataset!$AA:$AA,Dataset!$F:$F,'credito latam'!$D$11,Dataset!$AN:$AN,"AA-",Dataset!$J:$J,"&lt;"&amp;$D81,Dataset!$J:$J,"&gt;="&amp;$C81)</f>
        <v>0</v>
      </c>
      <c r="U81" s="89">
        <f>SUMIFS(Dataset!$AA:$AA,Dataset!$F:$F,'credito latam'!$D$11,Dataset!$AN:$AN,U$65,Dataset!$J:$J,"&lt;"&amp;$D81,Dataset!$J:$J,"&gt;="&amp;$C81)</f>
        <v>0</v>
      </c>
      <c r="V81" s="89">
        <f>SUMIFS(Dataset!$AA:$AA,Dataset!$F:$F,'credito latam'!$D$11,Dataset!$AN:$AN,V$65,Dataset!$J:$J,"&lt;"&amp;$D81,Dataset!$J:$J,"&gt;="&amp;$C81)</f>
        <v>0</v>
      </c>
      <c r="W81" s="89">
        <f>SUMIFS(Dataset!$AA:$AA,Dataset!$F:$F,'credito latam'!$D$11,Dataset!$AN:$AN,W$65,Dataset!$J:$J,"&lt;"&amp;$D81,Dataset!$J:$J,"&gt;="&amp;$C81)</f>
        <v>0</v>
      </c>
      <c r="X81" s="89">
        <f>SUMIFS(Dataset!$AA:$AA,Dataset!$F:$F,'credito latam'!$D$11,Dataset!$AN:$AN,X$65,Dataset!$J:$J,"&lt;"&amp;$D81,Dataset!$J:$J,"&gt;="&amp;$C81)</f>
        <v>0</v>
      </c>
      <c r="Y81" s="89">
        <f>SUMIFS(Dataset!$AA:$AA,Dataset!$F:$F,'credito latam'!$D$11,Dataset!$AN:$AN,Y$65,Dataset!$J:$J,"&lt;"&amp;$D81,Dataset!$J:$J,"&gt;="&amp;$C81)</f>
        <v>0</v>
      </c>
      <c r="Z81" s="89">
        <f>SUMIFS(Dataset!$AA:$AA,Dataset!$F:$F,'credito latam'!$D$11,Dataset!$AN:$AN,Z$65,Dataset!$J:$J,"&lt;"&amp;$D81,Dataset!$J:$J,"&gt;="&amp;$C81)</f>
        <v>0</v>
      </c>
      <c r="AA81" s="89">
        <f>SUMIFS(Dataset!$AA:$AA,Dataset!$F:$F,'credito latam'!$D$11,Dataset!$AN:$AN,AA$65,Dataset!$J:$J,"&lt;"&amp;$D81,Dataset!$J:$J,"&gt;="&amp;$C81)</f>
        <v>0</v>
      </c>
      <c r="AB81" s="89">
        <f>SUMIFS(Dataset!$AA:$AA,Dataset!$F:$F,'credito latam'!$D$11,Dataset!$AN:$AN,AB$65,Dataset!$J:$J,"&lt;"&amp;$D81,Dataset!$J:$J,"&gt;="&amp;$C81)</f>
        <v>0</v>
      </c>
      <c r="AC81" s="83">
        <f>SUMIFS(Dataset!$AA:$AA,Dataset!$F:$F,'credito latam'!$D$11,Dataset!$AN:$AN,AC$65,Dataset!$J:$J,"&lt;"&amp;$D81,Dataset!$J:$J,"&gt;="&amp;$C81)</f>
        <v>0</v>
      </c>
      <c r="AD81" s="83">
        <f>SUMIFS(Dataset!$AA:$AA,Dataset!$F:$F,'credito latam'!$D$11,Dataset!$AN:$AN,"B-",Dataset!$J:$J,"&lt;"&amp;$D81,Dataset!$J:$J,"&gt;="&amp;$C81)+SUMIFS(Dataset!$AA:$AA,Dataset!$F:$F,'credito latam'!$D$11,Dataset!$AN:$AN,"B",Dataset!$J:$J,"&lt;"&amp;$D81,Dataset!$J:$J,"&gt;="&amp;$C81)+SUMIFS(Dataset!$AA:$AA,Dataset!$F:$F,'credito latam'!$D$11,Dataset!$AN:$AN,"B+",Dataset!$J:$J,"&lt;"&amp;$D81,Dataset!$J:$J,"&gt;="&amp;$C81)</f>
        <v>0</v>
      </c>
      <c r="AE81" s="120">
        <f>SUMIFS(Dataset!$AA:$AA,Dataset!$F:$F,'credito latam'!$D$11,Dataset!$AN:$AN,AE$65,Dataset!$J:$J,"&lt;"&amp;$D81,Dataset!$J:$J,"&gt;="&amp;$C81)</f>
        <v>0</v>
      </c>
      <c r="AF81" s="90">
        <f t="shared" si="8"/>
        <v>0</v>
      </c>
    </row>
    <row r="82" spans="2:32" ht="33" customHeight="1" x14ac:dyDescent="0.3">
      <c r="C82" s="183"/>
      <c r="D82" s="184"/>
      <c r="E82" s="75">
        <f>SUM(E66:E81)</f>
        <v>0</v>
      </c>
      <c r="F82" s="75">
        <f t="shared" ref="F82:L82" si="9">SUM(F66:F81)</f>
        <v>0</v>
      </c>
      <c r="G82" s="75">
        <f t="shared" si="9"/>
        <v>0</v>
      </c>
      <c r="H82" s="75">
        <f t="shared" si="9"/>
        <v>0</v>
      </c>
      <c r="I82" s="75">
        <f t="shared" si="9"/>
        <v>0</v>
      </c>
      <c r="J82" s="75">
        <f t="shared" si="9"/>
        <v>0</v>
      </c>
      <c r="K82" s="75">
        <f t="shared" si="9"/>
        <v>0</v>
      </c>
      <c r="L82" s="75">
        <f t="shared" si="9"/>
        <v>0</v>
      </c>
      <c r="M82" s="75">
        <f>SUM(M66:M81)</f>
        <v>0</v>
      </c>
      <c r="N82" s="75">
        <f>SUM(N66:N81)</f>
        <v>0</v>
      </c>
      <c r="O82" s="75">
        <f>SUM(O66:O81)</f>
        <v>0</v>
      </c>
      <c r="P82" s="75">
        <f>SUM(P66:P81)</f>
        <v>0</v>
      </c>
      <c r="Q82" s="123">
        <f>SUM(Q66:Q81)</f>
        <v>0</v>
      </c>
      <c r="R82" s="84">
        <f t="shared" si="7"/>
        <v>0</v>
      </c>
      <c r="S82" s="75">
        <f>SUM(S66:S81)</f>
        <v>0</v>
      </c>
      <c r="T82" s="75">
        <f t="shared" ref="T82:Z82" si="10">SUM(T66:T81)</f>
        <v>0</v>
      </c>
      <c r="U82" s="75">
        <f t="shared" si="10"/>
        <v>0</v>
      </c>
      <c r="V82" s="75">
        <f t="shared" si="10"/>
        <v>0</v>
      </c>
      <c r="W82" s="75">
        <f t="shared" si="10"/>
        <v>0</v>
      </c>
      <c r="X82" s="75">
        <f t="shared" si="10"/>
        <v>0</v>
      </c>
      <c r="Y82" s="75">
        <f t="shared" si="10"/>
        <v>0</v>
      </c>
      <c r="Z82" s="75">
        <f t="shared" si="10"/>
        <v>0</v>
      </c>
      <c r="AA82" s="75">
        <f>SUM(AA66:AA81)</f>
        <v>0</v>
      </c>
      <c r="AB82" s="75">
        <f>SUM(AB66:AB81)</f>
        <v>0</v>
      </c>
      <c r="AC82" s="75">
        <f>SUM(AC66:AC81)</f>
        <v>0</v>
      </c>
      <c r="AD82" s="75">
        <f>SUM(AD66:AD81)</f>
        <v>0</v>
      </c>
      <c r="AE82" s="123">
        <f>SUM(AE66:AE81)</f>
        <v>0</v>
      </c>
      <c r="AF82" s="84">
        <f t="shared" si="8"/>
        <v>0</v>
      </c>
    </row>
    <row r="84" spans="2:32" ht="48" customHeight="1" x14ac:dyDescent="0.3">
      <c r="E84" s="176" t="s">
        <v>236</v>
      </c>
      <c r="F84" s="176"/>
      <c r="G84" s="176"/>
      <c r="H84" s="176"/>
      <c r="I84" s="176"/>
      <c r="J84" s="176"/>
      <c r="K84" s="176"/>
      <c r="M84" s="176" t="s">
        <v>237</v>
      </c>
      <c r="N84" s="176"/>
      <c r="O84" s="176"/>
      <c r="P84" s="176"/>
      <c r="Q84" s="176"/>
      <c r="R84" s="176"/>
      <c r="S84" s="176"/>
      <c r="T84" s="52"/>
      <c r="W84" s="52"/>
    </row>
    <row r="85" spans="2:32" ht="27" customHeight="1" x14ac:dyDescent="0.3">
      <c r="E85" s="69"/>
      <c r="F85" s="69"/>
      <c r="G85" s="69"/>
      <c r="H85" s="69"/>
      <c r="I85" s="69"/>
      <c r="J85" s="69"/>
      <c r="K85" s="69"/>
      <c r="L85" s="69"/>
      <c r="M85" s="69"/>
      <c r="O85" s="69"/>
      <c r="P85" s="69"/>
      <c r="Q85" s="69"/>
      <c r="R85" s="69"/>
      <c r="S85" s="69"/>
      <c r="T85" s="69"/>
      <c r="U85" s="69"/>
      <c r="V85" s="69"/>
    </row>
    <row r="86" spans="2:32" ht="33" customHeight="1" x14ac:dyDescent="0.3">
      <c r="C86" s="177" t="s">
        <v>68</v>
      </c>
      <c r="D86" s="177"/>
      <c r="E86" s="94" t="s">
        <v>31</v>
      </c>
      <c r="F86" s="94" t="s">
        <v>141</v>
      </c>
      <c r="G86" s="94" t="s">
        <v>139</v>
      </c>
      <c r="H86" s="94" t="s">
        <v>143</v>
      </c>
      <c r="I86" s="94" t="s">
        <v>153</v>
      </c>
      <c r="J86" s="94" t="s">
        <v>154</v>
      </c>
      <c r="K86" s="94" t="s">
        <v>79</v>
      </c>
      <c r="L86" s="94"/>
      <c r="M86" s="94" t="s">
        <v>31</v>
      </c>
      <c r="N86" s="94" t="s">
        <v>141</v>
      </c>
      <c r="O86" s="94" t="s">
        <v>139</v>
      </c>
      <c r="P86" s="94" t="s">
        <v>143</v>
      </c>
      <c r="Q86" s="94" t="s">
        <v>153</v>
      </c>
      <c r="R86" s="94" t="s">
        <v>154</v>
      </c>
      <c r="S86" s="94" t="s">
        <v>79</v>
      </c>
      <c r="T86" s="94" t="s">
        <v>238</v>
      </c>
    </row>
    <row r="87" spans="2:32" ht="33" customHeight="1" x14ac:dyDescent="0.3">
      <c r="C87" s="72">
        <v>0</v>
      </c>
      <c r="D87" s="73">
        <v>0.5</v>
      </c>
      <c r="E87" s="109">
        <f>SUMIFS(Dataset!$AJ:$AJ,Dataset!$F:$F,'credito latam'!$D$11,Dataset!$Z:$Z,E$86,Dataset!$J:$J,"&lt;"&amp;$D87,Dataset!$J:$J,"&gt;="&amp;$C87)</f>
        <v>0</v>
      </c>
      <c r="F87" s="98">
        <f>SUMIFS(Dataset!$AJ:$AJ,Dataset!$F:$F,'credito latam'!$D$11,Dataset!$Z:$Z,F$86,Dataset!$J:$J,"&lt;"&amp;$D87,Dataset!$J:$J,"&gt;="&amp;$C87)</f>
        <v>0</v>
      </c>
      <c r="G87" s="98">
        <f>SUMIFS(Dataset!$AJ:$AJ,Dataset!$F:$F,'credito latam'!$D$11,Dataset!$Z:$Z,G$86,Dataset!$J:$J,"&lt;"&amp;$D87,Dataset!$J:$J,"&gt;="&amp;$C87)</f>
        <v>0</v>
      </c>
      <c r="H87" s="98">
        <f>SUMIFS(Dataset!$AJ:$AJ,Dataset!$F:$F,'credito latam'!$D$11,Dataset!$Z:$Z,H$86,Dataset!$J:$J,"&lt;"&amp;$D87,Dataset!$J:$J,"&gt;="&amp;$C87)</f>
        <v>0</v>
      </c>
      <c r="I87" s="98">
        <f>SUMIFS(Dataset!$AJ:$AJ,Dataset!$F:$F,'credito latam'!$D$11,Dataset!$Z:$Z,I$86,Dataset!$J:$J,"&lt;"&amp;$D87,Dataset!$J:$J,"&gt;="&amp;$C87)</f>
        <v>0</v>
      </c>
      <c r="J87" s="98">
        <f>SUMIFS(Dataset!$AJ:$AJ,Dataset!$F:$F,'credito latam'!$D$11,Dataset!$Z:$Z,J$86,Dataset!$J:$J,"&lt;"&amp;$D87,Dataset!$J:$J,"&gt;="&amp;$C87)</f>
        <v>0</v>
      </c>
      <c r="K87" s="99">
        <f>SUMIFS(Dataset!$AK:$AK,Dataset!$F:$F,'credito latam'!$D$11,Dataset!$J:$J,"&lt;"&amp;$D87,Dataset!J:J,"&gt;="&amp;$C87,Dataset!$Z:$Z,"&lt;&gt;CL",Dataset!$Z:$Z,"&lt;&gt;MX",Dataset!$Z:$Z,"&lt;&gt;CO",Dataset!$Z:$Z,"&lt;&gt;PE",Dataset!$Z:$Z,"&lt;&gt;BR",Dataset!$Z:$Z,"&lt;&gt;PA")</f>
        <v>0</v>
      </c>
      <c r="L87" s="84">
        <f t="shared" ref="L87:L103" si="11">SUM(E87:K87)</f>
        <v>0</v>
      </c>
      <c r="M87" s="109">
        <f>SUMIFS(Dataset!$AA:$AA,Dataset!$F:$F,'credito latam'!$D$11,Dataset!$Z:$Z,M$86,Dataset!$J:$J,"&lt;"&amp;$D87,Dataset!$J:$J,"&gt;="&amp;$C87)</f>
        <v>0</v>
      </c>
      <c r="N87" s="98">
        <f>SUMIFS(Dataset!$AA:$AA,Dataset!$F:$F,'credito latam'!$D$11,Dataset!$Z:$Z,N$86,Dataset!$J:$J,"&lt;"&amp;$D87,Dataset!$J:$J,"&gt;="&amp;$C87)</f>
        <v>0</v>
      </c>
      <c r="O87" s="98">
        <f>SUMIFS(Dataset!$AA:$AA,Dataset!$F:$F,'credito latam'!$D$11,Dataset!$Z:$Z,O$86,Dataset!$J:$J,"&lt;"&amp;$D87,Dataset!$J:$J,"&gt;="&amp;$C87)</f>
        <v>0</v>
      </c>
      <c r="P87" s="98">
        <f>SUMIFS(Dataset!$AA:$AA,Dataset!$F:$F,'credito latam'!$D$11,Dataset!$Z:$Z,P$86,Dataset!$J:$J,"&lt;"&amp;$D87,Dataset!$J:$J,"&gt;="&amp;$C87)</f>
        <v>0</v>
      </c>
      <c r="Q87" s="98">
        <f>SUMIFS(Dataset!$AA:$AA,Dataset!$F:$F,'credito latam'!$D$11,Dataset!$Z:$Z,Q$86,Dataset!$J:$J,"&lt;"&amp;$D87,Dataset!$J:$J,"&gt;="&amp;$C87)</f>
        <v>0</v>
      </c>
      <c r="R87" s="98">
        <f>SUMIFS(Dataset!$AA:$AA,Dataset!$F:$F,'credito latam'!$D$11,Dataset!$Z:$Z,R$86,Dataset!$J:$J,"&lt;"&amp;$D87,Dataset!$J:$J,"&gt;="&amp;$C87)</f>
        <v>0</v>
      </c>
      <c r="S87" s="99">
        <f>SUMIFS(Dataset!$AA:$AA,Dataset!$F:$F,'credito latam'!$D$11,Dataset!$J:$J,"&lt;"&amp;$D87,Dataset!J:J,"&gt;="&amp;$C87,Dataset!$Z:$Z,"&lt;&gt;CL",Dataset!$Z:$Z,"&lt;&gt;MX",Dataset!$Z:$Z,"&lt;&gt;CO",Dataset!$Z:$Z,"&lt;&gt;PE",Dataset!$Z:$Z,"&lt;&gt;BR",Dataset!$Z:$Z,"&lt;&gt;PA")</f>
        <v>0</v>
      </c>
      <c r="T87" s="84">
        <f t="shared" ref="T87:T103" si="12">SUM(M87:S87)</f>
        <v>0</v>
      </c>
    </row>
    <row r="88" spans="2:32" ht="33" customHeight="1" x14ac:dyDescent="0.3">
      <c r="C88" s="61">
        <v>0.5</v>
      </c>
      <c r="D88" s="81">
        <v>1.5</v>
      </c>
      <c r="E88" s="113">
        <f>SUMIFS(Dataset!$AJ:$AJ,Dataset!$F:$F,'credito latam'!$D$11,Dataset!$Z:$Z,E$86,Dataset!$J:$J,"&lt;"&amp;$D88,Dataset!$J:$J,"&gt;="&amp;$C88)</f>
        <v>0</v>
      </c>
      <c r="F88" s="83">
        <f>SUMIFS(Dataset!$AJ:$AJ,Dataset!$F:$F,'credito latam'!$D$11,Dataset!$Z:$Z,F$86,Dataset!$J:$J,"&lt;"&amp;$D88,Dataset!$J:$J,"&gt;="&amp;$C88)</f>
        <v>0</v>
      </c>
      <c r="G88" s="83">
        <f>SUMIFS(Dataset!$AJ:$AJ,Dataset!$F:$F,'credito latam'!$D$11,Dataset!$Z:$Z,G$86,Dataset!$J:$J,"&lt;"&amp;$D88,Dataset!$J:$J,"&gt;="&amp;$C88)</f>
        <v>0</v>
      </c>
      <c r="H88" s="83">
        <f>SUMIFS(Dataset!$AJ:$AJ,Dataset!$F:$F,'credito latam'!$D$11,Dataset!$Z:$Z,H$86,Dataset!$J:$J,"&lt;"&amp;$D88,Dataset!$J:$J,"&gt;="&amp;$C88)</f>
        <v>0</v>
      </c>
      <c r="I88" s="83">
        <f>SUMIFS(Dataset!$AJ:$AJ,Dataset!$F:$F,'credito latam'!$D$11,Dataset!$Z:$Z,I$86,Dataset!$J:$J,"&lt;"&amp;$D88,Dataset!$J:$J,"&gt;="&amp;$C88)</f>
        <v>0</v>
      </c>
      <c r="J88" s="83">
        <f>SUMIFS(Dataset!$AJ:$AJ,Dataset!$F:$F,'credito latam'!$D$11,Dataset!$Z:$Z,J$86,Dataset!$J:$J,"&lt;"&amp;$D88,Dataset!$J:$J,"&gt;="&amp;$C88)</f>
        <v>0</v>
      </c>
      <c r="K88" s="114">
        <f>SUMIFS(Dataset!$AK:$AK,Dataset!$F:$F,'credito latam'!$D$11,Dataset!$J:$J,"&lt;"&amp;$D88,Dataset!J:J,"&gt;="&amp;$C88,Dataset!$Z:$Z,"&lt;&gt;CL",Dataset!$Z:$Z,"&lt;&gt;MX",Dataset!$Z:$Z,"&lt;&gt;CO",Dataset!$Z:$Z,"&lt;&gt;PE",Dataset!$Z:$Z,"&lt;&gt;BR",Dataset!$Z:$Z,"&lt;&gt;PA")</f>
        <v>0</v>
      </c>
      <c r="L88" s="84">
        <f t="shared" si="11"/>
        <v>0</v>
      </c>
      <c r="M88" s="113">
        <f>SUMIFS(Dataset!$AA:$AA,Dataset!$F:$F,'credito latam'!$D$11,Dataset!$Z:$Z,M$86,Dataset!$J:$J,"&lt;"&amp;$D88,Dataset!$J:$J,"&gt;="&amp;$C88)</f>
        <v>0</v>
      </c>
      <c r="N88" s="83">
        <f>SUMIFS(Dataset!$AA:$AA,Dataset!$F:$F,'credito latam'!$D$11,Dataset!$Z:$Z,N$86,Dataset!$J:$J,"&lt;"&amp;$D88,Dataset!$J:$J,"&gt;="&amp;$C88)</f>
        <v>0</v>
      </c>
      <c r="O88" s="83">
        <f>SUMIFS(Dataset!$AA:$AA,Dataset!$F:$F,'credito latam'!$D$11,Dataset!$Z:$Z,O$86,Dataset!$J:$J,"&lt;"&amp;$D88,Dataset!$J:$J,"&gt;="&amp;$C88)</f>
        <v>0</v>
      </c>
      <c r="P88" s="83">
        <f>SUMIFS(Dataset!$AA:$AA,Dataset!$F:$F,'credito latam'!$D$11,Dataset!$Z:$Z,P$86,Dataset!$J:$J,"&lt;"&amp;$D88,Dataset!$J:$J,"&gt;="&amp;$C88)</f>
        <v>0</v>
      </c>
      <c r="Q88" s="83">
        <f>SUMIFS(Dataset!$AA:$AA,Dataset!$F:$F,'credito latam'!$D$11,Dataset!$Z:$Z,Q$86,Dataset!$J:$J,"&lt;"&amp;$D88,Dataset!$J:$J,"&gt;="&amp;$C88)</f>
        <v>0</v>
      </c>
      <c r="R88" s="83">
        <f>SUMIFS(Dataset!$AA:$AA,Dataset!$F:$F,'credito latam'!$D$11,Dataset!$Z:$Z,R$86,Dataset!$J:$J,"&lt;"&amp;$D88,Dataset!$J:$J,"&gt;="&amp;$C88)</f>
        <v>0</v>
      </c>
      <c r="S88" s="114">
        <f>SUMIFS(Dataset!$AA:$AA,Dataset!$F:$F,'credito latam'!$D$11,Dataset!$J:$J,"&lt;"&amp;$D88,Dataset!J:J,"&gt;="&amp;$C88,Dataset!$Z:$Z,"&lt;&gt;CL",Dataset!$Z:$Z,"&lt;&gt;MX",Dataset!$Z:$Z,"&lt;&gt;CO",Dataset!$Z:$Z,"&lt;&gt;PE",Dataset!$Z:$Z,"&lt;&gt;BR",Dataset!$Z:$Z,"&lt;&gt;PA")</f>
        <v>0</v>
      </c>
      <c r="T88" s="84">
        <f t="shared" si="12"/>
        <v>0</v>
      </c>
    </row>
    <row r="89" spans="2:32" ht="33" customHeight="1" x14ac:dyDescent="0.3">
      <c r="C89" s="61">
        <v>1.5</v>
      </c>
      <c r="D89" s="81">
        <v>2.5</v>
      </c>
      <c r="E89" s="113">
        <f>SUMIFS(Dataset!$AJ:$AJ,Dataset!$F:$F,'credito latam'!$D$11,Dataset!$Z:$Z,E$86,Dataset!$J:$J,"&lt;"&amp;$D89,Dataset!$J:$J,"&gt;="&amp;$C89)</f>
        <v>0</v>
      </c>
      <c r="F89" s="101">
        <f>SUMIFS(Dataset!$AJ:$AJ,Dataset!$F:$F,'credito latam'!$D$11,Dataset!$Z:$Z,F$86,Dataset!$J:$J,"&lt;"&amp;$D89,Dataset!$J:$J,"&gt;="&amp;$C89)</f>
        <v>0</v>
      </c>
      <c r="G89" s="101">
        <f>SUMIFS(Dataset!$AJ:$AJ,Dataset!$F:$F,'credito latam'!$D$11,Dataset!$Z:$Z,G$86,Dataset!$J:$J,"&lt;"&amp;$D89,Dataset!$J:$J,"&gt;="&amp;$C89)</f>
        <v>0</v>
      </c>
      <c r="H89" s="101">
        <f>SUMIFS(Dataset!$AJ:$AJ,Dataset!$F:$F,'credito latam'!$D$11,Dataset!$Z:$Z,H$86,Dataset!$J:$J,"&lt;"&amp;$D89,Dataset!$J:$J,"&gt;="&amp;$C89)</f>
        <v>0</v>
      </c>
      <c r="I89" s="101">
        <f>SUMIFS(Dataset!$AJ:$AJ,Dataset!$F:$F,'credito latam'!$D$11,Dataset!$Z:$Z,I$86,Dataset!$J:$J,"&lt;"&amp;$D89,Dataset!$J:$J,"&gt;="&amp;$C89)</f>
        <v>0</v>
      </c>
      <c r="J89" s="101">
        <f>SUMIFS(Dataset!$AJ:$AJ,Dataset!$F:$F,'credito latam'!$D$11,Dataset!$Z:$Z,J$86,Dataset!$J:$J,"&lt;"&amp;$D89,Dataset!$J:$J,"&gt;="&amp;$C89)</f>
        <v>0</v>
      </c>
      <c r="K89" s="102">
        <f>SUMIFS(Dataset!$AK:$AK,Dataset!$F:$F,'credito latam'!$D$11,Dataset!$J:$J,"&lt;"&amp;$D89,Dataset!J:J,"&gt;="&amp;$C89,Dataset!$Z:$Z,"&lt;&gt;CL",Dataset!$Z:$Z,"&lt;&gt;MX",Dataset!$Z:$Z,"&lt;&gt;CO",Dataset!$Z:$Z,"&lt;&gt;PE",Dataset!$Z:$Z,"&lt;&gt;BR",Dataset!$Z:$Z,"&lt;&gt;PA")</f>
        <v>0</v>
      </c>
      <c r="L89" s="84">
        <f t="shared" si="11"/>
        <v>0</v>
      </c>
      <c r="M89" s="113">
        <f>SUMIFS(Dataset!$AA:$AA,Dataset!$F:$F,'credito latam'!$D$11,Dataset!$Z:$Z,M$86,Dataset!$J:$J,"&lt;"&amp;$D89,Dataset!$J:$J,"&gt;="&amp;$C89)</f>
        <v>0</v>
      </c>
      <c r="N89" s="101">
        <f>SUMIFS(Dataset!$AA:$AA,Dataset!$F:$F,'credito latam'!$D$11,Dataset!$Z:$Z,N$86,Dataset!$J:$J,"&lt;"&amp;$D89,Dataset!$J:$J,"&gt;="&amp;$C89)</f>
        <v>0</v>
      </c>
      <c r="O89" s="101">
        <f>SUMIFS(Dataset!$AA:$AA,Dataset!$F:$F,'credito latam'!$D$11,Dataset!$Z:$Z,O$86,Dataset!$J:$J,"&lt;"&amp;$D89,Dataset!$J:$J,"&gt;="&amp;$C89)</f>
        <v>0</v>
      </c>
      <c r="P89" s="101">
        <f>SUMIFS(Dataset!$AA:$AA,Dataset!$F:$F,'credito latam'!$D$11,Dataset!$Z:$Z,P$86,Dataset!$J:$J,"&lt;"&amp;$D89,Dataset!$J:$J,"&gt;="&amp;$C89)</f>
        <v>0</v>
      </c>
      <c r="Q89" s="101">
        <f>SUMIFS(Dataset!$AA:$AA,Dataset!$F:$F,'credito latam'!$D$11,Dataset!$Z:$Z,Q$86,Dataset!$J:$J,"&lt;"&amp;$D89,Dataset!$J:$J,"&gt;="&amp;$C89)</f>
        <v>0</v>
      </c>
      <c r="R89" s="101">
        <f>SUMIFS(Dataset!$AA:$AA,Dataset!$F:$F,'credito latam'!$D$11,Dataset!$Z:$Z,R$86,Dataset!$J:$J,"&lt;"&amp;$D89,Dataset!$J:$J,"&gt;="&amp;$C89)</f>
        <v>0</v>
      </c>
      <c r="S89" s="102">
        <f>SUMIFS(Dataset!$AA:$AA,Dataset!$F:$F,'credito latam'!$D$11,Dataset!$J:$J,"&lt;"&amp;$D89,Dataset!J:J,"&gt;="&amp;$C89,Dataset!$Z:$Z,"&lt;&gt;CL",Dataset!$Z:$Z,"&lt;&gt;MX",Dataset!$Z:$Z,"&lt;&gt;CO",Dataset!$Z:$Z,"&lt;&gt;PE",Dataset!$Z:$Z,"&lt;&gt;BR",Dataset!$Z:$Z,"&lt;&gt;PA")</f>
        <v>0</v>
      </c>
      <c r="T89" s="84">
        <f t="shared" si="12"/>
        <v>0</v>
      </c>
    </row>
    <row r="90" spans="2:32" ht="27" customHeight="1" x14ac:dyDescent="0.3">
      <c r="C90" s="61">
        <v>2.5</v>
      </c>
      <c r="D90" s="81">
        <v>3.5</v>
      </c>
      <c r="E90" s="113">
        <f>SUMIFS(Dataset!$AJ:$AJ,Dataset!$F:$F,'credito latam'!$D$11,Dataset!$Z:$Z,E$86,Dataset!$J:$J,"&lt;"&amp;$D90,Dataset!$J:$J,"&gt;="&amp;$C90)</f>
        <v>0</v>
      </c>
      <c r="F90" s="83">
        <f>SUMIFS(Dataset!$AJ:$AJ,Dataset!$F:$F,'credito latam'!$D$11,Dataset!$Z:$Z,F$86,Dataset!$J:$J,"&lt;"&amp;$D90,Dataset!$J:$J,"&gt;="&amp;$C90)</f>
        <v>0</v>
      </c>
      <c r="G90" s="83">
        <f>SUMIFS(Dataset!$AJ:$AJ,Dataset!$F:$F,'credito latam'!$D$11,Dataset!$Z:$Z,G$86,Dataset!$J:$J,"&lt;"&amp;$D90,Dataset!$J:$J,"&gt;="&amp;$C90)</f>
        <v>0</v>
      </c>
      <c r="H90" s="83">
        <f>SUMIFS(Dataset!$AJ:$AJ,Dataset!$F:$F,'credito latam'!$D$11,Dataset!$Z:$Z,H$86,Dataset!$J:$J,"&lt;"&amp;$D90,Dataset!$J:$J,"&gt;="&amp;$C90)</f>
        <v>0</v>
      </c>
      <c r="I90" s="83">
        <f>SUMIFS(Dataset!$AJ:$AJ,Dataset!$F:$F,'credito latam'!$D$11,Dataset!$Z:$Z,I$86,Dataset!$J:$J,"&lt;"&amp;$D90,Dataset!$J:$J,"&gt;="&amp;$C90)</f>
        <v>0</v>
      </c>
      <c r="J90" s="83">
        <f>SUMIFS(Dataset!$AJ:$AJ,Dataset!$F:$F,'credito latam'!$D$11,Dataset!$Z:$Z,J$86,Dataset!$J:$J,"&lt;"&amp;$D90,Dataset!$J:$J,"&gt;="&amp;$C90)</f>
        <v>0</v>
      </c>
      <c r="K90" s="114">
        <f>SUMIFS(Dataset!$AK:$AK,Dataset!$F:$F,'credito latam'!$D$11,Dataset!$J:$J,"&lt;"&amp;$D90,Dataset!J:J,"&gt;="&amp;$C90,Dataset!$Z:$Z,"&lt;&gt;CL",Dataset!$Z:$Z,"&lt;&gt;MX",Dataset!$Z:$Z,"&lt;&gt;CO",Dataset!$Z:$Z,"&lt;&gt;PE",Dataset!$Z:$Z,"&lt;&gt;BR",Dataset!$Z:$Z,"&lt;&gt;PA")</f>
        <v>0</v>
      </c>
      <c r="L90" s="84">
        <f t="shared" si="11"/>
        <v>0</v>
      </c>
      <c r="M90" s="113">
        <f>SUMIFS(Dataset!$AA:$AA,Dataset!$F:$F,'credito latam'!$D$11,Dataset!$Z:$Z,M$86,Dataset!$J:$J,"&lt;"&amp;$D90,Dataset!$J:$J,"&gt;="&amp;$C90)</f>
        <v>0</v>
      </c>
      <c r="N90" s="83">
        <f>SUMIFS(Dataset!$AA:$AA,Dataset!$F:$F,'credito latam'!$D$11,Dataset!$Z:$Z,N$86,Dataset!$J:$J,"&lt;"&amp;$D90,Dataset!$J:$J,"&gt;="&amp;$C90)</f>
        <v>0</v>
      </c>
      <c r="O90" s="83">
        <f>SUMIFS(Dataset!$AA:$AA,Dataset!$F:$F,'credito latam'!$D$11,Dataset!$Z:$Z,O$86,Dataset!$J:$J,"&lt;"&amp;$D90,Dataset!$J:$J,"&gt;="&amp;$C90)</f>
        <v>0</v>
      </c>
      <c r="P90" s="83">
        <f>SUMIFS(Dataset!$AA:$AA,Dataset!$F:$F,'credito latam'!$D$11,Dataset!$Z:$Z,P$86,Dataset!$J:$J,"&lt;"&amp;$D90,Dataset!$J:$J,"&gt;="&amp;$C90)</f>
        <v>0</v>
      </c>
      <c r="Q90" s="83">
        <f>SUMIFS(Dataset!$AA:$AA,Dataset!$F:$F,'credito latam'!$D$11,Dataset!$Z:$Z,Q$86,Dataset!$J:$J,"&lt;"&amp;$D90,Dataset!$J:$J,"&gt;="&amp;$C90)</f>
        <v>0</v>
      </c>
      <c r="R90" s="83">
        <f>SUMIFS(Dataset!$AA:$AA,Dataset!$F:$F,'credito latam'!$D$11,Dataset!$Z:$Z,R$86,Dataset!$J:$J,"&lt;"&amp;$D90,Dataset!$J:$J,"&gt;="&amp;$C90)</f>
        <v>0</v>
      </c>
      <c r="S90" s="114">
        <f>SUMIFS(Dataset!$AA:$AA,Dataset!$F:$F,'credito latam'!$D$11,Dataset!$J:$J,"&lt;"&amp;$D90,Dataset!J:J,"&gt;="&amp;$C90,Dataset!$Z:$Z,"&lt;&gt;CL",Dataset!$Z:$Z,"&lt;&gt;MX",Dataset!$Z:$Z,"&lt;&gt;CO",Dataset!$Z:$Z,"&lt;&gt;PE",Dataset!$Z:$Z,"&lt;&gt;BR",Dataset!$Z:$Z,"&lt;&gt;PA")</f>
        <v>0</v>
      </c>
      <c r="T90" s="84">
        <f t="shared" si="12"/>
        <v>0</v>
      </c>
    </row>
    <row r="91" spans="2:32" ht="27" customHeight="1" x14ac:dyDescent="0.3">
      <c r="C91" s="61">
        <v>3.5</v>
      </c>
      <c r="D91" s="81">
        <v>4.5</v>
      </c>
      <c r="E91" s="113">
        <f>SUMIFS(Dataset!$AJ:$AJ,Dataset!$F:$F,'credito latam'!$D$11,Dataset!$Z:$Z,E$86,Dataset!$J:$J,"&lt;"&amp;$D91,Dataset!$J:$J,"&gt;="&amp;$C91)</f>
        <v>0</v>
      </c>
      <c r="F91" s="101">
        <f>SUMIFS(Dataset!$AJ:$AJ,Dataset!$F:$F,'credito latam'!$D$11,Dataset!$Z:$Z,F$86,Dataset!$J:$J,"&lt;"&amp;$D91,Dataset!$J:$J,"&gt;="&amp;$C91)</f>
        <v>0</v>
      </c>
      <c r="G91" s="101">
        <f>SUMIFS(Dataset!$AJ:$AJ,Dataset!$F:$F,'credito latam'!$D$11,Dataset!$Z:$Z,G$86,Dataset!$J:$J,"&lt;"&amp;$D91,Dataset!$J:$J,"&gt;="&amp;$C91)</f>
        <v>0</v>
      </c>
      <c r="H91" s="101">
        <f>SUMIFS(Dataset!$AJ:$AJ,Dataset!$F:$F,'credito latam'!$D$11,Dataset!$Z:$Z,H$86,Dataset!$J:$J,"&lt;"&amp;$D91,Dataset!$J:$J,"&gt;="&amp;$C91)</f>
        <v>0</v>
      </c>
      <c r="I91" s="101">
        <f>SUMIFS(Dataset!$AJ:$AJ,Dataset!$F:$F,'credito latam'!$D$11,Dataset!$Z:$Z,I$86,Dataset!$J:$J,"&lt;"&amp;$D91,Dataset!$J:$J,"&gt;="&amp;$C91)</f>
        <v>0</v>
      </c>
      <c r="J91" s="101">
        <f>SUMIFS(Dataset!$AJ:$AJ,Dataset!$F:$F,'credito latam'!$D$11,Dataset!$Z:$Z,J$86,Dataset!$J:$J,"&lt;"&amp;$D91,Dataset!$J:$J,"&gt;="&amp;$C91)</f>
        <v>0</v>
      </c>
      <c r="K91" s="102">
        <f>SUMIFS(Dataset!$AK:$AK,Dataset!$F:$F,'credito latam'!$D$11,Dataset!$J:$J,"&lt;"&amp;$D91,Dataset!J:J,"&gt;="&amp;$C91,Dataset!$Z:$Z,"&lt;&gt;CL",Dataset!$Z:$Z,"&lt;&gt;MX",Dataset!$Z:$Z,"&lt;&gt;CO",Dataset!$Z:$Z,"&lt;&gt;PE",Dataset!$Z:$Z,"&lt;&gt;BR",Dataset!$Z:$Z,"&lt;&gt;PA")</f>
        <v>0</v>
      </c>
      <c r="L91" s="84">
        <f t="shared" si="11"/>
        <v>0</v>
      </c>
      <c r="M91" s="113">
        <f>SUMIFS(Dataset!$AA:$AA,Dataset!$F:$F,'credito latam'!$D$11,Dataset!$Z:$Z,M$86,Dataset!$J:$J,"&lt;"&amp;$D91,Dataset!$J:$J,"&gt;="&amp;$C91)</f>
        <v>0</v>
      </c>
      <c r="N91" s="101">
        <f>SUMIFS(Dataset!$AA:$AA,Dataset!$F:$F,'credito latam'!$D$11,Dataset!$Z:$Z,N$86,Dataset!$J:$J,"&lt;"&amp;$D91,Dataset!$J:$J,"&gt;="&amp;$C91)</f>
        <v>0</v>
      </c>
      <c r="O91" s="101">
        <f>SUMIFS(Dataset!$AA:$AA,Dataset!$F:$F,'credito latam'!$D$11,Dataset!$Z:$Z,O$86,Dataset!$J:$J,"&lt;"&amp;$D91,Dataset!$J:$J,"&gt;="&amp;$C91)</f>
        <v>0</v>
      </c>
      <c r="P91" s="101">
        <f>SUMIFS(Dataset!$AA:$AA,Dataset!$F:$F,'credito latam'!$D$11,Dataset!$Z:$Z,P$86,Dataset!$J:$J,"&lt;"&amp;$D91,Dataset!$J:$J,"&gt;="&amp;$C91)</f>
        <v>0</v>
      </c>
      <c r="Q91" s="101">
        <f>SUMIFS(Dataset!$AA:$AA,Dataset!$F:$F,'credito latam'!$D$11,Dataset!$Z:$Z,Q$86,Dataset!$J:$J,"&lt;"&amp;$D91,Dataset!$J:$J,"&gt;="&amp;$C91)</f>
        <v>0</v>
      </c>
      <c r="R91" s="101">
        <f>SUMIFS(Dataset!$AA:$AA,Dataset!$F:$F,'credito latam'!$D$11,Dataset!$Z:$Z,R$86,Dataset!$J:$J,"&lt;"&amp;$D91,Dataset!$J:$J,"&gt;="&amp;$C91)</f>
        <v>0</v>
      </c>
      <c r="S91" s="102">
        <f>SUMIFS(Dataset!$AA:$AA,Dataset!$F:$F,'credito latam'!$D$11,Dataset!$J:$J,"&lt;"&amp;$D91,Dataset!J:J,"&gt;="&amp;$C91,Dataset!$Z:$Z,"&lt;&gt;CL",Dataset!$Z:$Z,"&lt;&gt;MX",Dataset!$Z:$Z,"&lt;&gt;CO",Dataset!$Z:$Z,"&lt;&gt;PE",Dataset!$Z:$Z,"&lt;&gt;BR",Dataset!$Z:$Z,"&lt;&gt;PA")</f>
        <v>0</v>
      </c>
      <c r="T91" s="84">
        <f t="shared" si="12"/>
        <v>0</v>
      </c>
    </row>
    <row r="92" spans="2:32" ht="36" customHeight="1" x14ac:dyDescent="0.4">
      <c r="B92" s="95"/>
      <c r="C92" s="61">
        <v>4.5</v>
      </c>
      <c r="D92" s="81">
        <v>5.5</v>
      </c>
      <c r="E92" s="113">
        <f>SUMIFS(Dataset!$AJ:$AJ,Dataset!$F:$F,'credito latam'!$D$11,Dataset!$Z:$Z,E$86,Dataset!$J:$J,"&lt;"&amp;$D92,Dataset!$J:$J,"&gt;="&amp;$C92)</f>
        <v>0</v>
      </c>
      <c r="F92" s="83">
        <f>SUMIFS(Dataset!$AJ:$AJ,Dataset!$F:$F,'credito latam'!$D$11,Dataset!$Z:$Z,F$86,Dataset!$J:$J,"&lt;"&amp;$D92,Dataset!$J:$J,"&gt;="&amp;$C92)</f>
        <v>0</v>
      </c>
      <c r="G92" s="83">
        <f>SUMIFS(Dataset!$AJ:$AJ,Dataset!$F:$F,'credito latam'!$D$11,Dataset!$Z:$Z,G$86,Dataset!$J:$J,"&lt;"&amp;$D92,Dataset!$J:$J,"&gt;="&amp;$C92)</f>
        <v>0</v>
      </c>
      <c r="H92" s="83">
        <f>SUMIFS(Dataset!$AJ:$AJ,Dataset!$F:$F,'credito latam'!$D$11,Dataset!$Z:$Z,H$86,Dataset!$J:$J,"&lt;"&amp;$D92,Dataset!$J:$J,"&gt;="&amp;$C92)</f>
        <v>0</v>
      </c>
      <c r="I92" s="83">
        <f>SUMIFS(Dataset!$AJ:$AJ,Dataset!$F:$F,'credito latam'!$D$11,Dataset!$Z:$Z,I$86,Dataset!$J:$J,"&lt;"&amp;$D92,Dataset!$J:$J,"&gt;="&amp;$C92)</f>
        <v>0</v>
      </c>
      <c r="J92" s="83">
        <f>SUMIFS(Dataset!$AJ:$AJ,Dataset!$F:$F,'credito latam'!$D$11,Dataset!$Z:$Z,J$86,Dataset!$J:$J,"&lt;"&amp;$D92,Dataset!$J:$J,"&gt;="&amp;$C92)</f>
        <v>0</v>
      </c>
      <c r="K92" s="114">
        <f>SUMIFS(Dataset!$AK:$AK,Dataset!$F:$F,'credito latam'!$D$11,Dataset!$J:$J,"&lt;"&amp;$D92,Dataset!J:J,"&gt;="&amp;$C92,Dataset!$Z:$Z,"&lt;&gt;CL",Dataset!$Z:$Z,"&lt;&gt;MX",Dataset!$Z:$Z,"&lt;&gt;CO",Dataset!$Z:$Z,"&lt;&gt;PE",Dataset!$Z:$Z,"&lt;&gt;BR",Dataset!$Z:$Z,"&lt;&gt;PA")</f>
        <v>0</v>
      </c>
      <c r="L92" s="84">
        <f t="shared" si="11"/>
        <v>0</v>
      </c>
      <c r="M92" s="113">
        <f>SUMIFS(Dataset!$AA:$AA,Dataset!$F:$F,'credito latam'!$D$11,Dataset!$Z:$Z,M$86,Dataset!$J:$J,"&lt;"&amp;$D92,Dataset!$J:$J,"&gt;="&amp;$C92)</f>
        <v>0</v>
      </c>
      <c r="N92" s="83">
        <f>SUMIFS(Dataset!$AA:$AA,Dataset!$F:$F,'credito latam'!$D$11,Dataset!$Z:$Z,N$86,Dataset!$J:$J,"&lt;"&amp;$D92,Dataset!$J:$J,"&gt;="&amp;$C92)</f>
        <v>0</v>
      </c>
      <c r="O92" s="83">
        <f>SUMIFS(Dataset!$AA:$AA,Dataset!$F:$F,'credito latam'!$D$11,Dataset!$Z:$Z,O$86,Dataset!$J:$J,"&lt;"&amp;$D92,Dataset!$J:$J,"&gt;="&amp;$C92)</f>
        <v>0</v>
      </c>
      <c r="P92" s="83">
        <f>SUMIFS(Dataset!$AA:$AA,Dataset!$F:$F,'credito latam'!$D$11,Dataset!$Z:$Z,P$86,Dataset!$J:$J,"&lt;"&amp;$D92,Dataset!$J:$J,"&gt;="&amp;$C92)</f>
        <v>0</v>
      </c>
      <c r="Q92" s="83">
        <f>SUMIFS(Dataset!$AA:$AA,Dataset!$F:$F,'credito latam'!$D$11,Dataset!$Z:$Z,Q$86,Dataset!$J:$J,"&lt;"&amp;$D92,Dataset!$J:$J,"&gt;="&amp;$C92)</f>
        <v>0</v>
      </c>
      <c r="R92" s="83">
        <f>SUMIFS(Dataset!$AA:$AA,Dataset!$F:$F,'credito latam'!$D$11,Dataset!$Z:$Z,R$86,Dataset!$J:$J,"&lt;"&amp;$D92,Dataset!$J:$J,"&gt;="&amp;$C92)</f>
        <v>0</v>
      </c>
      <c r="S92" s="114">
        <f>SUMIFS(Dataset!$AA:$AA,Dataset!$F:$F,'credito latam'!$D$11,Dataset!$J:$J,"&lt;"&amp;$D92,Dataset!J:J,"&gt;="&amp;$C92,Dataset!$Z:$Z,"&lt;&gt;CL",Dataset!$Z:$Z,"&lt;&gt;MX",Dataset!$Z:$Z,"&lt;&gt;CO",Dataset!$Z:$Z,"&lt;&gt;PE",Dataset!$Z:$Z,"&lt;&gt;BR",Dataset!$Z:$Z,"&lt;&gt;PA")</f>
        <v>0</v>
      </c>
      <c r="T92" s="84">
        <f t="shared" si="12"/>
        <v>0</v>
      </c>
    </row>
    <row r="93" spans="2:32" ht="36" customHeight="1" x14ac:dyDescent="0.3">
      <c r="B93" s="96"/>
      <c r="C93" s="61">
        <v>5.5</v>
      </c>
      <c r="D93" s="81">
        <v>6.5</v>
      </c>
      <c r="E93" s="113">
        <f>SUMIFS(Dataset!$AJ:$AJ,Dataset!$F:$F,'credito latam'!$D$11,Dataset!$Z:$Z,E$86,Dataset!$J:$J,"&lt;"&amp;$D93,Dataset!$J:$J,"&gt;="&amp;$C93)</f>
        <v>0</v>
      </c>
      <c r="F93" s="101">
        <f>SUMIFS(Dataset!$AJ:$AJ,Dataset!$F:$F,'credito latam'!$D$11,Dataset!$Z:$Z,F$86,Dataset!$J:$J,"&lt;"&amp;$D93,Dataset!$J:$J,"&gt;="&amp;$C93)</f>
        <v>0</v>
      </c>
      <c r="G93" s="101">
        <f>SUMIFS(Dataset!$AJ:$AJ,Dataset!$F:$F,'credito latam'!$D$11,Dataset!$Z:$Z,G$86,Dataset!$J:$J,"&lt;"&amp;$D93,Dataset!$J:$J,"&gt;="&amp;$C93)</f>
        <v>0</v>
      </c>
      <c r="H93" s="101">
        <f>SUMIFS(Dataset!$AJ:$AJ,Dataset!$F:$F,'credito latam'!$D$11,Dataset!$Z:$Z,H$86,Dataset!$J:$J,"&lt;"&amp;$D93,Dataset!$J:$J,"&gt;="&amp;$C93)</f>
        <v>0</v>
      </c>
      <c r="I93" s="101">
        <f>SUMIFS(Dataset!$AJ:$AJ,Dataset!$F:$F,'credito latam'!$D$11,Dataset!$Z:$Z,I$86,Dataset!$J:$J,"&lt;"&amp;$D93,Dataset!$J:$J,"&gt;="&amp;$C93)</f>
        <v>0</v>
      </c>
      <c r="J93" s="101">
        <f>SUMIFS(Dataset!$AJ:$AJ,Dataset!$F:$F,'credito latam'!$D$11,Dataset!$Z:$Z,J$86,Dataset!$J:$J,"&lt;"&amp;$D93,Dataset!$J:$J,"&gt;="&amp;$C93)</f>
        <v>0</v>
      </c>
      <c r="K93" s="102">
        <f>SUMIFS(Dataset!$AK:$AK,Dataset!$F:$F,'credito latam'!$D$11,Dataset!$J:$J,"&lt;"&amp;$D93,Dataset!J:J,"&gt;="&amp;$C93,Dataset!$Z:$Z,"&lt;&gt;CL",Dataset!$Z:$Z,"&lt;&gt;MX",Dataset!$Z:$Z,"&lt;&gt;CO",Dataset!$Z:$Z,"&lt;&gt;PE",Dataset!$Z:$Z,"&lt;&gt;BR",Dataset!$Z:$Z,"&lt;&gt;PA")</f>
        <v>0</v>
      </c>
      <c r="L93" s="84">
        <f t="shared" si="11"/>
        <v>0</v>
      </c>
      <c r="M93" s="113">
        <f>SUMIFS(Dataset!$AA:$AA,Dataset!$F:$F,'credito latam'!$D$11,Dataset!$Z:$Z,M$86,Dataset!$J:$J,"&lt;"&amp;$D93,Dataset!$J:$J,"&gt;="&amp;$C93)</f>
        <v>0</v>
      </c>
      <c r="N93" s="101">
        <f>SUMIFS(Dataset!$AA:$AA,Dataset!$F:$F,'credito latam'!$D$11,Dataset!$Z:$Z,N$86,Dataset!$J:$J,"&lt;"&amp;$D93,Dataset!$J:$J,"&gt;="&amp;$C93)</f>
        <v>0</v>
      </c>
      <c r="O93" s="101">
        <f>SUMIFS(Dataset!$AA:$AA,Dataset!$F:$F,'credito latam'!$D$11,Dataset!$Z:$Z,O$86,Dataset!$J:$J,"&lt;"&amp;$D93,Dataset!$J:$J,"&gt;="&amp;$C93)</f>
        <v>0</v>
      </c>
      <c r="P93" s="101">
        <f>SUMIFS(Dataset!$AA:$AA,Dataset!$F:$F,'credito latam'!$D$11,Dataset!$Z:$Z,P$86,Dataset!$J:$J,"&lt;"&amp;$D93,Dataset!$J:$J,"&gt;="&amp;$C93)</f>
        <v>0</v>
      </c>
      <c r="Q93" s="101">
        <f>SUMIFS(Dataset!$AA:$AA,Dataset!$F:$F,'credito latam'!$D$11,Dataset!$Z:$Z,Q$86,Dataset!$J:$J,"&lt;"&amp;$D93,Dataset!$J:$J,"&gt;="&amp;$C93)</f>
        <v>0</v>
      </c>
      <c r="R93" s="101">
        <f>SUMIFS(Dataset!$AA:$AA,Dataset!$F:$F,'credito latam'!$D$11,Dataset!$Z:$Z,R$86,Dataset!$J:$J,"&lt;"&amp;$D93,Dataset!$J:$J,"&gt;="&amp;$C93)</f>
        <v>0</v>
      </c>
      <c r="S93" s="102">
        <f>SUMIFS(Dataset!$AA:$AA,Dataset!$F:$F,'credito latam'!$D$11,Dataset!$J:$J,"&lt;"&amp;$D93,Dataset!J:J,"&gt;="&amp;$C93,Dataset!$Z:$Z,"&lt;&gt;CL",Dataset!$Z:$Z,"&lt;&gt;MX",Dataset!$Z:$Z,"&lt;&gt;CO",Dataset!$Z:$Z,"&lt;&gt;PE",Dataset!$Z:$Z,"&lt;&gt;BR",Dataset!$Z:$Z,"&lt;&gt;PA")</f>
        <v>0</v>
      </c>
      <c r="T93" s="84">
        <f t="shared" si="12"/>
        <v>0</v>
      </c>
    </row>
    <row r="94" spans="2:32" ht="27" customHeight="1" x14ac:dyDescent="0.3">
      <c r="C94" s="61">
        <v>6.5</v>
      </c>
      <c r="D94" s="81">
        <v>7.5</v>
      </c>
      <c r="E94" s="113">
        <f>SUMIFS(Dataset!$AJ:$AJ,Dataset!$F:$F,'credito latam'!$D$11,Dataset!$Z:$Z,E$86,Dataset!$J:$J,"&lt;"&amp;$D94,Dataset!$J:$J,"&gt;="&amp;$C94)</f>
        <v>0</v>
      </c>
      <c r="F94" s="83">
        <f>SUMIFS(Dataset!$AJ:$AJ,Dataset!$F:$F,'credito latam'!$D$11,Dataset!$Z:$Z,F$86,Dataset!$J:$J,"&lt;"&amp;$D94,Dataset!$J:$J,"&gt;="&amp;$C94)</f>
        <v>0</v>
      </c>
      <c r="G94" s="83">
        <f>SUMIFS(Dataset!$AJ:$AJ,Dataset!$F:$F,'credito latam'!$D$11,Dataset!$Z:$Z,G$86,Dataset!$J:$J,"&lt;"&amp;$D94,Dataset!$J:$J,"&gt;="&amp;$C94)</f>
        <v>0</v>
      </c>
      <c r="H94" s="83">
        <f>SUMIFS(Dataset!$AJ:$AJ,Dataset!$F:$F,'credito latam'!$D$11,Dataset!$Z:$Z,H$86,Dataset!$J:$J,"&lt;"&amp;$D94,Dataset!$J:$J,"&gt;="&amp;$C94)</f>
        <v>0</v>
      </c>
      <c r="I94" s="83">
        <f>SUMIFS(Dataset!$AJ:$AJ,Dataset!$F:$F,'credito latam'!$D$11,Dataset!$Z:$Z,I$86,Dataset!$J:$J,"&lt;"&amp;$D94,Dataset!$J:$J,"&gt;="&amp;$C94)</f>
        <v>0</v>
      </c>
      <c r="J94" s="83">
        <f>SUMIFS(Dataset!$AJ:$AJ,Dataset!$F:$F,'credito latam'!$D$11,Dataset!$Z:$Z,J$86,Dataset!$J:$J,"&lt;"&amp;$D94,Dataset!$J:$J,"&gt;="&amp;$C94)</f>
        <v>0</v>
      </c>
      <c r="K94" s="114">
        <f>SUMIFS(Dataset!$AK:$AK,Dataset!$F:$F,'credito latam'!$D$11,Dataset!$J:$J,"&lt;"&amp;$D94,Dataset!J:J,"&gt;="&amp;$C94,Dataset!$Z:$Z,"&lt;&gt;CL",Dataset!$Z:$Z,"&lt;&gt;MX",Dataset!$Z:$Z,"&lt;&gt;CO",Dataset!$Z:$Z,"&lt;&gt;PE",Dataset!$Z:$Z,"&lt;&gt;BR",Dataset!$Z:$Z,"&lt;&gt;PA")</f>
        <v>0</v>
      </c>
      <c r="L94" s="84">
        <f t="shared" si="11"/>
        <v>0</v>
      </c>
      <c r="M94" s="113">
        <f>SUMIFS(Dataset!$AA:$AA,Dataset!$F:$F,'credito latam'!$D$11,Dataset!$Z:$Z,M$86,Dataset!$J:$J,"&lt;"&amp;$D94,Dataset!$J:$J,"&gt;="&amp;$C94)</f>
        <v>0</v>
      </c>
      <c r="N94" s="83">
        <f>SUMIFS(Dataset!$AA:$AA,Dataset!$F:$F,'credito latam'!$D$11,Dataset!$Z:$Z,N$86,Dataset!$J:$J,"&lt;"&amp;$D94,Dataset!$J:$J,"&gt;="&amp;$C94)</f>
        <v>0</v>
      </c>
      <c r="O94" s="83">
        <f>SUMIFS(Dataset!$AA:$AA,Dataset!$F:$F,'credito latam'!$D$11,Dataset!$Z:$Z,O$86,Dataset!$J:$J,"&lt;"&amp;$D94,Dataset!$J:$J,"&gt;="&amp;$C94)</f>
        <v>0</v>
      </c>
      <c r="P94" s="83">
        <f>SUMIFS(Dataset!$AA:$AA,Dataset!$F:$F,'credito latam'!$D$11,Dataset!$Z:$Z,P$86,Dataset!$J:$J,"&lt;"&amp;$D94,Dataset!$J:$J,"&gt;="&amp;$C94)</f>
        <v>0</v>
      </c>
      <c r="Q94" s="83">
        <f>SUMIFS(Dataset!$AA:$AA,Dataset!$F:$F,'credito latam'!$D$11,Dataset!$Z:$Z,Q$86,Dataset!$J:$J,"&lt;"&amp;$D94,Dataset!$J:$J,"&gt;="&amp;$C94)</f>
        <v>0</v>
      </c>
      <c r="R94" s="83">
        <f>SUMIFS(Dataset!$AA:$AA,Dataset!$F:$F,'credito latam'!$D$11,Dataset!$Z:$Z,R$86,Dataset!$J:$J,"&lt;"&amp;$D94,Dataset!$J:$J,"&gt;="&amp;$C94)</f>
        <v>0</v>
      </c>
      <c r="S94" s="114">
        <f>SUMIFS(Dataset!$AA:$AA,Dataset!$F:$F,'credito latam'!$D$11,Dataset!$J:$J,"&lt;"&amp;$D94,Dataset!J:J,"&gt;="&amp;$C94,Dataset!$Z:$Z,"&lt;&gt;CL",Dataset!$Z:$Z,"&lt;&gt;MX",Dataset!$Z:$Z,"&lt;&gt;CO",Dataset!$Z:$Z,"&lt;&gt;PE",Dataset!$Z:$Z,"&lt;&gt;BR",Dataset!$Z:$Z,"&lt;&gt;PA")</f>
        <v>0</v>
      </c>
      <c r="T94" s="84">
        <f t="shared" si="12"/>
        <v>0</v>
      </c>
    </row>
    <row r="95" spans="2:32" ht="27" customHeight="1" x14ac:dyDescent="0.3">
      <c r="C95" s="61">
        <v>7.5</v>
      </c>
      <c r="D95" s="81">
        <v>8.5</v>
      </c>
      <c r="E95" s="113">
        <f>SUMIFS(Dataset!$AJ:$AJ,Dataset!$F:$F,'credito latam'!$D$11,Dataset!$Z:$Z,E$86,Dataset!$J:$J,"&lt;"&amp;$D95,Dataset!$J:$J,"&gt;="&amp;$C95)</f>
        <v>0</v>
      </c>
      <c r="F95" s="101">
        <f>SUMIFS(Dataset!$AJ:$AJ,Dataset!$F:$F,'credito latam'!$D$11,Dataset!$Z:$Z,F$86,Dataset!$J:$J,"&lt;"&amp;$D95,Dataset!$J:$J,"&gt;="&amp;$C95)</f>
        <v>0</v>
      </c>
      <c r="G95" s="101">
        <f>SUMIFS(Dataset!$AJ:$AJ,Dataset!$F:$F,'credito latam'!$D$11,Dataset!$Z:$Z,G$86,Dataset!$J:$J,"&lt;"&amp;$D95,Dataset!$J:$J,"&gt;="&amp;$C95)</f>
        <v>0</v>
      </c>
      <c r="H95" s="101">
        <f>SUMIFS(Dataset!$AJ:$AJ,Dataset!$F:$F,'credito latam'!$D$11,Dataset!$Z:$Z,H$86,Dataset!$J:$J,"&lt;"&amp;$D95,Dataset!$J:$J,"&gt;="&amp;$C95)</f>
        <v>0</v>
      </c>
      <c r="I95" s="101">
        <f>SUMIFS(Dataset!$AJ:$AJ,Dataset!$F:$F,'credito latam'!$D$11,Dataset!$Z:$Z,I$86,Dataset!$J:$J,"&lt;"&amp;$D95,Dataset!$J:$J,"&gt;="&amp;$C95)</f>
        <v>0</v>
      </c>
      <c r="J95" s="101">
        <f>SUMIFS(Dataset!$AJ:$AJ,Dataset!$F:$F,'credito latam'!$D$11,Dataset!$Z:$Z,J$86,Dataset!$J:$J,"&lt;"&amp;$D95,Dataset!$J:$J,"&gt;="&amp;$C95)</f>
        <v>0</v>
      </c>
      <c r="K95" s="102">
        <f>SUMIFS(Dataset!$AK:$AK,Dataset!$F:$F,'credito latam'!$D$11,Dataset!$J:$J,"&lt;"&amp;$D95,Dataset!J:J,"&gt;="&amp;$C95,Dataset!$Z:$Z,"&lt;&gt;CL",Dataset!$Z:$Z,"&lt;&gt;MX",Dataset!$Z:$Z,"&lt;&gt;CO",Dataset!$Z:$Z,"&lt;&gt;PE",Dataset!$Z:$Z,"&lt;&gt;BR",Dataset!$Z:$Z,"&lt;&gt;PA")</f>
        <v>0</v>
      </c>
      <c r="L95" s="84">
        <f t="shared" si="11"/>
        <v>0</v>
      </c>
      <c r="M95" s="113">
        <f>SUMIFS(Dataset!$AA:$AA,Dataset!$F:$F,'credito latam'!$D$11,Dataset!$Z:$Z,M$86,Dataset!$J:$J,"&lt;"&amp;$D95,Dataset!$J:$J,"&gt;="&amp;$C95)</f>
        <v>0</v>
      </c>
      <c r="N95" s="101">
        <f>SUMIFS(Dataset!$AA:$AA,Dataset!$F:$F,'credito latam'!$D$11,Dataset!$Z:$Z,N$86,Dataset!$J:$J,"&lt;"&amp;$D95,Dataset!$J:$J,"&gt;="&amp;$C95)</f>
        <v>0</v>
      </c>
      <c r="O95" s="101">
        <f>SUMIFS(Dataset!$AA:$AA,Dataset!$F:$F,'credito latam'!$D$11,Dataset!$Z:$Z,O$86,Dataset!$J:$J,"&lt;"&amp;$D95,Dataset!$J:$J,"&gt;="&amp;$C95)</f>
        <v>0</v>
      </c>
      <c r="P95" s="101">
        <f>SUMIFS(Dataset!$AA:$AA,Dataset!$F:$F,'credito latam'!$D$11,Dataset!$Z:$Z,P$86,Dataset!$J:$J,"&lt;"&amp;$D95,Dataset!$J:$J,"&gt;="&amp;$C95)</f>
        <v>0</v>
      </c>
      <c r="Q95" s="101">
        <f>SUMIFS(Dataset!$AA:$AA,Dataset!$F:$F,'credito latam'!$D$11,Dataset!$Z:$Z,Q$86,Dataset!$J:$J,"&lt;"&amp;$D95,Dataset!$J:$J,"&gt;="&amp;$C95)</f>
        <v>0</v>
      </c>
      <c r="R95" s="101">
        <f>SUMIFS(Dataset!$AA:$AA,Dataset!$F:$F,'credito latam'!$D$11,Dataset!$Z:$Z,R$86,Dataset!$J:$J,"&lt;"&amp;$D95,Dataset!$J:$J,"&gt;="&amp;$C95)</f>
        <v>0</v>
      </c>
      <c r="S95" s="102">
        <f>SUMIFS(Dataset!$AA:$AA,Dataset!$F:$F,'credito latam'!$D$11,Dataset!$J:$J,"&lt;"&amp;$D95,Dataset!J:J,"&gt;="&amp;$C95,Dataset!$Z:$Z,"&lt;&gt;CL",Dataset!$Z:$Z,"&lt;&gt;MX",Dataset!$Z:$Z,"&lt;&gt;CO",Dataset!$Z:$Z,"&lt;&gt;PE",Dataset!$Z:$Z,"&lt;&gt;BR",Dataset!$Z:$Z,"&lt;&gt;PA")</f>
        <v>0</v>
      </c>
      <c r="T95" s="84">
        <f t="shared" si="12"/>
        <v>0</v>
      </c>
    </row>
    <row r="96" spans="2:32" ht="27" customHeight="1" x14ac:dyDescent="0.3">
      <c r="C96" s="61">
        <v>8.5</v>
      </c>
      <c r="D96" s="81">
        <v>9.5</v>
      </c>
      <c r="E96" s="113">
        <f>SUMIFS(Dataset!$AJ:$AJ,Dataset!$F:$F,'credito latam'!$D$11,Dataset!$Z:$Z,E$86,Dataset!$J:$J,"&lt;"&amp;$D96,Dataset!$J:$J,"&gt;="&amp;$C96)</f>
        <v>0</v>
      </c>
      <c r="F96" s="83">
        <f>SUMIFS(Dataset!$AJ:$AJ,Dataset!$F:$F,'credito latam'!$D$11,Dataset!$Z:$Z,F$86,Dataset!$J:$J,"&lt;"&amp;$D96,Dataset!$J:$J,"&gt;="&amp;$C96)</f>
        <v>0</v>
      </c>
      <c r="G96" s="83">
        <f>SUMIFS(Dataset!$AJ:$AJ,Dataset!$F:$F,'credito latam'!$D$11,Dataset!$Z:$Z,G$86,Dataset!$J:$J,"&lt;"&amp;$D96,Dataset!$J:$J,"&gt;="&amp;$C96)</f>
        <v>0</v>
      </c>
      <c r="H96" s="83">
        <f>SUMIFS(Dataset!$AJ:$AJ,Dataset!$F:$F,'credito latam'!$D$11,Dataset!$Z:$Z,H$86,Dataset!$J:$J,"&lt;"&amp;$D96,Dataset!$J:$J,"&gt;="&amp;$C96)</f>
        <v>0</v>
      </c>
      <c r="I96" s="83">
        <f>SUMIFS(Dataset!$AJ:$AJ,Dataset!$F:$F,'credito latam'!$D$11,Dataset!$Z:$Z,I$86,Dataset!$J:$J,"&lt;"&amp;$D96,Dataset!$J:$J,"&gt;="&amp;$C96)</f>
        <v>0</v>
      </c>
      <c r="J96" s="83">
        <f>SUMIFS(Dataset!$AJ:$AJ,Dataset!$F:$F,'credito latam'!$D$11,Dataset!$Z:$Z,J$86,Dataset!$J:$J,"&lt;"&amp;$D96,Dataset!$J:$J,"&gt;="&amp;$C96)</f>
        <v>0</v>
      </c>
      <c r="K96" s="114">
        <f>SUMIFS(Dataset!$AK:$AK,Dataset!$F:$F,'credito latam'!$D$11,Dataset!$J:$J,"&lt;"&amp;$D96,Dataset!J:J,"&gt;="&amp;$C96,Dataset!$Z:$Z,"&lt;&gt;CL",Dataset!$Z:$Z,"&lt;&gt;MX",Dataset!$Z:$Z,"&lt;&gt;CO",Dataset!$Z:$Z,"&lt;&gt;PE",Dataset!$Z:$Z,"&lt;&gt;BR",Dataset!$Z:$Z,"&lt;&gt;PA")</f>
        <v>0</v>
      </c>
      <c r="L96" s="84">
        <f t="shared" si="11"/>
        <v>0</v>
      </c>
      <c r="M96" s="113">
        <f>SUMIFS(Dataset!$AA:$AA,Dataset!$F:$F,'credito latam'!$D$11,Dataset!$Z:$Z,M$86,Dataset!$J:$J,"&lt;"&amp;$D96,Dataset!$J:$J,"&gt;="&amp;$C96)</f>
        <v>0</v>
      </c>
      <c r="N96" s="83">
        <f>SUMIFS(Dataset!$AA:$AA,Dataset!$F:$F,'credito latam'!$D$11,Dataset!$Z:$Z,N$86,Dataset!$J:$J,"&lt;"&amp;$D96,Dataset!$J:$J,"&gt;="&amp;$C96)</f>
        <v>0</v>
      </c>
      <c r="O96" s="83">
        <f>SUMIFS(Dataset!$AA:$AA,Dataset!$F:$F,'credito latam'!$D$11,Dataset!$Z:$Z,O$86,Dataset!$J:$J,"&lt;"&amp;$D96,Dataset!$J:$J,"&gt;="&amp;$C96)</f>
        <v>0</v>
      </c>
      <c r="P96" s="83">
        <f>SUMIFS(Dataset!$AA:$AA,Dataset!$F:$F,'credito latam'!$D$11,Dataset!$Z:$Z,P$86,Dataset!$J:$J,"&lt;"&amp;$D96,Dataset!$J:$J,"&gt;="&amp;$C96)</f>
        <v>0</v>
      </c>
      <c r="Q96" s="83">
        <f>SUMIFS(Dataset!$AA:$AA,Dataset!$F:$F,'credito latam'!$D$11,Dataset!$Z:$Z,Q$86,Dataset!$J:$J,"&lt;"&amp;$D96,Dataset!$J:$J,"&gt;="&amp;$C96)</f>
        <v>0</v>
      </c>
      <c r="R96" s="83">
        <f>SUMIFS(Dataset!$AA:$AA,Dataset!$F:$F,'credito latam'!$D$11,Dataset!$Z:$Z,R$86,Dataset!$J:$J,"&lt;"&amp;$D96,Dataset!$J:$J,"&gt;="&amp;$C96)</f>
        <v>0</v>
      </c>
      <c r="S96" s="114">
        <f>SUMIFS(Dataset!$AA:$AA,Dataset!$F:$F,'credito latam'!$D$11,Dataset!$J:$J,"&lt;"&amp;$D96,Dataset!J:J,"&gt;="&amp;$C96,Dataset!$Z:$Z,"&lt;&gt;CL",Dataset!$Z:$Z,"&lt;&gt;MX",Dataset!$Z:$Z,"&lt;&gt;CO",Dataset!$Z:$Z,"&lt;&gt;PE",Dataset!$Z:$Z,"&lt;&gt;BR",Dataset!$Z:$Z,"&lt;&gt;PA")</f>
        <v>0</v>
      </c>
      <c r="T96" s="84">
        <f t="shared" si="12"/>
        <v>0</v>
      </c>
    </row>
    <row r="97" spans="3:20" ht="27" customHeight="1" x14ac:dyDescent="0.3">
      <c r="C97" s="61">
        <v>9.5</v>
      </c>
      <c r="D97" s="81">
        <v>10.5</v>
      </c>
      <c r="E97" s="113">
        <f>SUMIFS(Dataset!$AJ:$AJ,Dataset!$F:$F,'credito latam'!$D$11,Dataset!$Z:$Z,E$86,Dataset!$J:$J,"&lt;"&amp;$D97,Dataset!$J:$J,"&gt;="&amp;$C97)</f>
        <v>0</v>
      </c>
      <c r="F97" s="101">
        <f>SUMIFS(Dataset!$AJ:$AJ,Dataset!$F:$F,'credito latam'!$D$11,Dataset!$Z:$Z,F$86,Dataset!$J:$J,"&lt;"&amp;$D97,Dataset!$J:$J,"&gt;="&amp;$C97)</f>
        <v>0</v>
      </c>
      <c r="G97" s="101">
        <f>SUMIFS(Dataset!$AJ:$AJ,Dataset!$F:$F,'credito latam'!$D$11,Dataset!$Z:$Z,G$86,Dataset!$J:$J,"&lt;"&amp;$D97,Dataset!$J:$J,"&gt;="&amp;$C97)</f>
        <v>0</v>
      </c>
      <c r="H97" s="101">
        <f>SUMIFS(Dataset!$AJ:$AJ,Dataset!$F:$F,'credito latam'!$D$11,Dataset!$Z:$Z,H$86,Dataset!$J:$J,"&lt;"&amp;$D97,Dataset!$J:$J,"&gt;="&amp;$C97)</f>
        <v>0</v>
      </c>
      <c r="I97" s="101">
        <f>SUMIFS(Dataset!$AJ:$AJ,Dataset!$F:$F,'credito latam'!$D$11,Dataset!$Z:$Z,I$86,Dataset!$J:$J,"&lt;"&amp;$D97,Dataset!$J:$J,"&gt;="&amp;$C97)</f>
        <v>0</v>
      </c>
      <c r="J97" s="101">
        <f>SUMIFS(Dataset!$AJ:$AJ,Dataset!$F:$F,'credito latam'!$D$11,Dataset!$Z:$Z,J$86,Dataset!$J:$J,"&lt;"&amp;$D97,Dataset!$J:$J,"&gt;="&amp;$C97)</f>
        <v>0</v>
      </c>
      <c r="K97" s="102">
        <f>SUMIFS(Dataset!$AK:$AK,Dataset!$F:$F,'credito latam'!$D$11,Dataset!$J:$J,"&lt;"&amp;$D97,Dataset!J:J,"&gt;="&amp;$C97,Dataset!$Z:$Z,"&lt;&gt;CL",Dataset!$Z:$Z,"&lt;&gt;MX",Dataset!$Z:$Z,"&lt;&gt;CO",Dataset!$Z:$Z,"&lt;&gt;PE",Dataset!$Z:$Z,"&lt;&gt;BR",Dataset!$Z:$Z,"&lt;&gt;PA")</f>
        <v>0</v>
      </c>
      <c r="L97" s="84">
        <f t="shared" si="11"/>
        <v>0</v>
      </c>
      <c r="M97" s="113">
        <f>SUMIFS(Dataset!$AA:$AA,Dataset!$F:$F,'credito latam'!$D$11,Dataset!$Z:$Z,M$86,Dataset!$J:$J,"&lt;"&amp;$D97,Dataset!$J:$J,"&gt;="&amp;$C97)</f>
        <v>0</v>
      </c>
      <c r="N97" s="101">
        <f>SUMIFS(Dataset!$AA:$AA,Dataset!$F:$F,'credito latam'!$D$11,Dataset!$Z:$Z,N$86,Dataset!$J:$J,"&lt;"&amp;$D97,Dataset!$J:$J,"&gt;="&amp;$C97)</f>
        <v>0</v>
      </c>
      <c r="O97" s="101">
        <f>SUMIFS(Dataset!$AA:$AA,Dataset!$F:$F,'credito latam'!$D$11,Dataset!$Z:$Z,O$86,Dataset!$J:$J,"&lt;"&amp;$D97,Dataset!$J:$J,"&gt;="&amp;$C97)</f>
        <v>0</v>
      </c>
      <c r="P97" s="101">
        <f>SUMIFS(Dataset!$AA:$AA,Dataset!$F:$F,'credito latam'!$D$11,Dataset!$Z:$Z,P$86,Dataset!$J:$J,"&lt;"&amp;$D97,Dataset!$J:$J,"&gt;="&amp;$C97)</f>
        <v>0</v>
      </c>
      <c r="Q97" s="101">
        <f>SUMIFS(Dataset!$AA:$AA,Dataset!$F:$F,'credito latam'!$D$11,Dataset!$Z:$Z,Q$86,Dataset!$J:$J,"&lt;"&amp;$D97,Dataset!$J:$J,"&gt;="&amp;$C97)</f>
        <v>0</v>
      </c>
      <c r="R97" s="101">
        <f>SUMIFS(Dataset!$AA:$AA,Dataset!$F:$F,'credito latam'!$D$11,Dataset!$Z:$Z,R$86,Dataset!$J:$J,"&lt;"&amp;$D97,Dataset!$J:$J,"&gt;="&amp;$C97)</f>
        <v>0</v>
      </c>
      <c r="S97" s="102">
        <f>SUMIFS(Dataset!$AA:$AA,Dataset!$F:$F,'credito latam'!$D$11,Dataset!$J:$J,"&lt;"&amp;$D97,Dataset!J:J,"&gt;="&amp;$C97,Dataset!$Z:$Z,"&lt;&gt;CL",Dataset!$Z:$Z,"&lt;&gt;MX",Dataset!$Z:$Z,"&lt;&gt;CO",Dataset!$Z:$Z,"&lt;&gt;PE",Dataset!$Z:$Z,"&lt;&gt;BR",Dataset!$Z:$Z,"&lt;&gt;PA")</f>
        <v>0</v>
      </c>
      <c r="T97" s="84">
        <f t="shared" si="12"/>
        <v>0</v>
      </c>
    </row>
    <row r="98" spans="3:20" ht="27" customHeight="1" x14ac:dyDescent="0.3">
      <c r="C98" s="61">
        <v>10.5</v>
      </c>
      <c r="D98" s="81">
        <v>11.5</v>
      </c>
      <c r="E98" s="113">
        <f>SUMIFS(Dataset!$AJ:$AJ,Dataset!$F:$F,'credito latam'!$D$11,Dataset!$Z:$Z,E$86,Dataset!$J:$J,"&lt;"&amp;$D98,Dataset!$J:$J,"&gt;="&amp;$C98)</f>
        <v>0</v>
      </c>
      <c r="F98" s="83">
        <f>SUMIFS(Dataset!$AJ:$AJ,Dataset!$F:$F,'credito latam'!$D$11,Dataset!$Z:$Z,F$86,Dataset!$J:$J,"&lt;"&amp;$D98,Dataset!$J:$J,"&gt;="&amp;$C98)</f>
        <v>0</v>
      </c>
      <c r="G98" s="83">
        <f>SUMIFS(Dataset!$AJ:$AJ,Dataset!$F:$F,'credito latam'!$D$11,Dataset!$Z:$Z,G$86,Dataset!$J:$J,"&lt;"&amp;$D98,Dataset!$J:$J,"&gt;="&amp;$C98)</f>
        <v>0</v>
      </c>
      <c r="H98" s="83">
        <f>SUMIFS(Dataset!$AJ:$AJ,Dataset!$F:$F,'credito latam'!$D$11,Dataset!$Z:$Z,H$86,Dataset!$J:$J,"&lt;"&amp;$D98,Dataset!$J:$J,"&gt;="&amp;$C98)</f>
        <v>0</v>
      </c>
      <c r="I98" s="83">
        <f>SUMIFS(Dataset!$AJ:$AJ,Dataset!$F:$F,'credito latam'!$D$11,Dataset!$Z:$Z,I$86,Dataset!$J:$J,"&lt;"&amp;$D98,Dataset!$J:$J,"&gt;="&amp;$C98)</f>
        <v>0</v>
      </c>
      <c r="J98" s="83">
        <f>SUMIFS(Dataset!$AJ:$AJ,Dataset!$F:$F,'credito latam'!$D$11,Dataset!$Z:$Z,J$86,Dataset!$J:$J,"&lt;"&amp;$D98,Dataset!$J:$J,"&gt;="&amp;$C98)</f>
        <v>0</v>
      </c>
      <c r="K98" s="114">
        <f>SUMIFS(Dataset!$AK:$AK,Dataset!$F:$F,'credito latam'!$D$11,Dataset!$J:$J,"&lt;"&amp;$D98,Dataset!J:J,"&gt;="&amp;$C98,Dataset!$Z:$Z,"&lt;&gt;CL",Dataset!$Z:$Z,"&lt;&gt;MX",Dataset!$Z:$Z,"&lt;&gt;CO",Dataset!$Z:$Z,"&lt;&gt;PE",Dataset!$Z:$Z,"&lt;&gt;BR",Dataset!$Z:$Z,"&lt;&gt;PA")</f>
        <v>0</v>
      </c>
      <c r="L98" s="84">
        <f t="shared" si="11"/>
        <v>0</v>
      </c>
      <c r="M98" s="113">
        <f>SUMIFS(Dataset!$AA:$AA,Dataset!$F:$F,'credito latam'!$D$11,Dataset!$Z:$Z,M$86,Dataset!$J:$J,"&lt;"&amp;$D98,Dataset!$J:$J,"&gt;="&amp;$C98)</f>
        <v>0</v>
      </c>
      <c r="N98" s="83">
        <f>SUMIFS(Dataset!$AA:$AA,Dataset!$F:$F,'credito latam'!$D$11,Dataset!$Z:$Z,N$86,Dataset!$J:$J,"&lt;"&amp;$D98,Dataset!$J:$J,"&gt;="&amp;$C98)</f>
        <v>0</v>
      </c>
      <c r="O98" s="83">
        <f>SUMIFS(Dataset!$AA:$AA,Dataset!$F:$F,'credito latam'!$D$11,Dataset!$Z:$Z,O$86,Dataset!$J:$J,"&lt;"&amp;$D98,Dataset!$J:$J,"&gt;="&amp;$C98)</f>
        <v>0</v>
      </c>
      <c r="P98" s="83">
        <f>SUMIFS(Dataset!$AA:$AA,Dataset!$F:$F,'credito latam'!$D$11,Dataset!$Z:$Z,P$86,Dataset!$J:$J,"&lt;"&amp;$D98,Dataset!$J:$J,"&gt;="&amp;$C98)</f>
        <v>0</v>
      </c>
      <c r="Q98" s="83">
        <f>SUMIFS(Dataset!$AA:$AA,Dataset!$F:$F,'credito latam'!$D$11,Dataset!$Z:$Z,Q$86,Dataset!$J:$J,"&lt;"&amp;$D98,Dataset!$J:$J,"&gt;="&amp;$C98)</f>
        <v>0</v>
      </c>
      <c r="R98" s="83">
        <f>SUMIFS(Dataset!$AA:$AA,Dataset!$F:$F,'credito latam'!$D$11,Dataset!$Z:$Z,R$86,Dataset!$J:$J,"&lt;"&amp;$D98,Dataset!$J:$J,"&gt;="&amp;$C98)</f>
        <v>0</v>
      </c>
      <c r="S98" s="114">
        <f>SUMIFS(Dataset!$AA:$AA,Dataset!$F:$F,'credito latam'!$D$11,Dataset!$J:$J,"&lt;"&amp;$D98,Dataset!J:J,"&gt;="&amp;$C98,Dataset!$Z:$Z,"&lt;&gt;CL",Dataset!$Z:$Z,"&lt;&gt;MX",Dataset!$Z:$Z,"&lt;&gt;CO",Dataset!$Z:$Z,"&lt;&gt;PE",Dataset!$Z:$Z,"&lt;&gt;BR",Dataset!$Z:$Z,"&lt;&gt;PA")</f>
        <v>0</v>
      </c>
      <c r="T98" s="84">
        <f t="shared" si="12"/>
        <v>0</v>
      </c>
    </row>
    <row r="99" spans="3:20" ht="27" customHeight="1" x14ac:dyDescent="0.3">
      <c r="C99" s="61">
        <v>11.5</v>
      </c>
      <c r="D99" s="81">
        <v>12.5</v>
      </c>
      <c r="E99" s="113">
        <f>SUMIFS(Dataset!$AJ:$AJ,Dataset!$F:$F,'credito latam'!$D$11,Dataset!$Z:$Z,E$86,Dataset!$J:$J,"&lt;"&amp;$D99,Dataset!$J:$J,"&gt;="&amp;$C99)</f>
        <v>0</v>
      </c>
      <c r="F99" s="101">
        <f>SUMIFS(Dataset!$AJ:$AJ,Dataset!$F:$F,'credito latam'!$D$11,Dataset!$Z:$Z,F$86,Dataset!$J:$J,"&lt;"&amp;$D99,Dataset!$J:$J,"&gt;="&amp;$C99)</f>
        <v>0</v>
      </c>
      <c r="G99" s="101">
        <f>SUMIFS(Dataset!$AJ:$AJ,Dataset!$F:$F,'credito latam'!$D$11,Dataset!$Z:$Z,G$86,Dataset!$J:$J,"&lt;"&amp;$D99,Dataset!$J:$J,"&gt;="&amp;$C99)</f>
        <v>0</v>
      </c>
      <c r="H99" s="101">
        <f>SUMIFS(Dataset!$AJ:$AJ,Dataset!$F:$F,'credito latam'!$D$11,Dataset!$Z:$Z,H$86,Dataset!$J:$J,"&lt;"&amp;$D99,Dataset!$J:$J,"&gt;="&amp;$C99)</f>
        <v>0</v>
      </c>
      <c r="I99" s="101">
        <f>SUMIFS(Dataset!$AJ:$AJ,Dataset!$F:$F,'credito latam'!$D$11,Dataset!$Z:$Z,I$86,Dataset!$J:$J,"&lt;"&amp;$D99,Dataset!$J:$J,"&gt;="&amp;$C99)</f>
        <v>0</v>
      </c>
      <c r="J99" s="101">
        <f>SUMIFS(Dataset!$AJ:$AJ,Dataset!$F:$F,'credito latam'!$D$11,Dataset!$Z:$Z,J$86,Dataset!$J:$J,"&lt;"&amp;$D99,Dataset!$J:$J,"&gt;="&amp;$C99)</f>
        <v>0</v>
      </c>
      <c r="K99" s="102">
        <f>SUMIFS(Dataset!$AK:$AK,Dataset!$F:$F,'credito latam'!$D$11,Dataset!$J:$J,"&lt;"&amp;$D99,Dataset!J:J,"&gt;="&amp;$C99,Dataset!$Z:$Z,"&lt;&gt;CL",Dataset!$Z:$Z,"&lt;&gt;MX",Dataset!$Z:$Z,"&lt;&gt;CO",Dataset!$Z:$Z,"&lt;&gt;PE",Dataset!$Z:$Z,"&lt;&gt;BR",Dataset!$Z:$Z,"&lt;&gt;PA")</f>
        <v>0</v>
      </c>
      <c r="L99" s="84">
        <f t="shared" si="11"/>
        <v>0</v>
      </c>
      <c r="M99" s="113">
        <f>SUMIFS(Dataset!$AA:$AA,Dataset!$F:$F,'credito latam'!$D$11,Dataset!$Z:$Z,M$86,Dataset!$J:$J,"&lt;"&amp;$D99,Dataset!$J:$J,"&gt;="&amp;$C99)</f>
        <v>0</v>
      </c>
      <c r="N99" s="101">
        <f>SUMIFS(Dataset!$AA:$AA,Dataset!$F:$F,'credito latam'!$D$11,Dataset!$Z:$Z,N$86,Dataset!$J:$J,"&lt;"&amp;$D99,Dataset!$J:$J,"&gt;="&amp;$C99)</f>
        <v>0</v>
      </c>
      <c r="O99" s="101">
        <f>SUMIFS(Dataset!$AA:$AA,Dataset!$F:$F,'credito latam'!$D$11,Dataset!$Z:$Z,O$86,Dataset!$J:$J,"&lt;"&amp;$D99,Dataset!$J:$J,"&gt;="&amp;$C99)</f>
        <v>0</v>
      </c>
      <c r="P99" s="101">
        <f>SUMIFS(Dataset!$AA:$AA,Dataset!$F:$F,'credito latam'!$D$11,Dataset!$Z:$Z,P$86,Dataset!$J:$J,"&lt;"&amp;$D99,Dataset!$J:$J,"&gt;="&amp;$C99)</f>
        <v>0</v>
      </c>
      <c r="Q99" s="101">
        <f>SUMIFS(Dataset!$AA:$AA,Dataset!$F:$F,'credito latam'!$D$11,Dataset!$Z:$Z,Q$86,Dataset!$J:$J,"&lt;"&amp;$D99,Dataset!$J:$J,"&gt;="&amp;$C99)</f>
        <v>0</v>
      </c>
      <c r="R99" s="101">
        <f>SUMIFS(Dataset!$AA:$AA,Dataset!$F:$F,'credito latam'!$D$11,Dataset!$Z:$Z,R$86,Dataset!$J:$J,"&lt;"&amp;$D99,Dataset!$J:$J,"&gt;="&amp;$C99)</f>
        <v>0</v>
      </c>
      <c r="S99" s="102">
        <f>SUMIFS(Dataset!$AA:$AA,Dataset!$F:$F,'credito latam'!$D$11,Dataset!$J:$J,"&lt;"&amp;$D99,Dataset!J:J,"&gt;="&amp;$C99,Dataset!$Z:$Z,"&lt;&gt;CL",Dataset!$Z:$Z,"&lt;&gt;MX",Dataset!$Z:$Z,"&lt;&gt;CO",Dataset!$Z:$Z,"&lt;&gt;PE",Dataset!$Z:$Z,"&lt;&gt;BR",Dataset!$Z:$Z,"&lt;&gt;PA")</f>
        <v>0</v>
      </c>
      <c r="T99" s="84">
        <f t="shared" si="12"/>
        <v>0</v>
      </c>
    </row>
    <row r="100" spans="3:20" ht="27" customHeight="1" x14ac:dyDescent="0.3">
      <c r="C100" s="61">
        <v>12.5</v>
      </c>
      <c r="D100" s="81">
        <v>13.5</v>
      </c>
      <c r="E100" s="113">
        <f>SUMIFS(Dataset!$AJ:$AJ,Dataset!$F:$F,'credito latam'!$D$11,Dataset!$Z:$Z,E$86,Dataset!$J:$J,"&lt;"&amp;$D100,Dataset!$J:$J,"&gt;="&amp;$C100)</f>
        <v>0</v>
      </c>
      <c r="F100" s="83">
        <f>SUMIFS(Dataset!$AJ:$AJ,Dataset!$F:$F,'credito latam'!$D$11,Dataset!$Z:$Z,F$86,Dataset!$J:$J,"&lt;"&amp;$D100,Dataset!$J:$J,"&gt;="&amp;$C100)</f>
        <v>0</v>
      </c>
      <c r="G100" s="83">
        <f>SUMIFS(Dataset!$AJ:$AJ,Dataset!$F:$F,'credito latam'!$D$11,Dataset!$Z:$Z,G$86,Dataset!$J:$J,"&lt;"&amp;$D100,Dataset!$J:$J,"&gt;="&amp;$C100)</f>
        <v>0</v>
      </c>
      <c r="H100" s="83">
        <f>SUMIFS(Dataset!$AJ:$AJ,Dataset!$F:$F,'credito latam'!$D$11,Dataset!$Z:$Z,H$86,Dataset!$J:$J,"&lt;"&amp;$D100,Dataset!$J:$J,"&gt;="&amp;$C100)</f>
        <v>0</v>
      </c>
      <c r="I100" s="83">
        <f>SUMIFS(Dataset!$AJ:$AJ,Dataset!$F:$F,'credito latam'!$D$11,Dataset!$Z:$Z,I$86,Dataset!$J:$J,"&lt;"&amp;$D100,Dataset!$J:$J,"&gt;="&amp;$C100)</f>
        <v>0</v>
      </c>
      <c r="J100" s="83">
        <f>SUMIFS(Dataset!$AJ:$AJ,Dataset!$F:$F,'credito latam'!$D$11,Dataset!$Z:$Z,J$86,Dataset!$J:$J,"&lt;"&amp;$D100,Dataset!$J:$J,"&gt;="&amp;$C100)</f>
        <v>0</v>
      </c>
      <c r="K100" s="114">
        <f>SUMIFS(Dataset!$AK:$AK,Dataset!$F:$F,'credito latam'!$D$11,Dataset!$J:$J,"&lt;"&amp;$D100,Dataset!J:J,"&gt;="&amp;$C100,Dataset!$Z:$Z,"&lt;&gt;CL",Dataset!$Z:$Z,"&lt;&gt;MX",Dataset!$Z:$Z,"&lt;&gt;CO",Dataset!$Z:$Z,"&lt;&gt;PE",Dataset!$Z:$Z,"&lt;&gt;BR",Dataset!$Z:$Z,"&lt;&gt;PA")</f>
        <v>0</v>
      </c>
      <c r="L100" s="84">
        <f t="shared" si="11"/>
        <v>0</v>
      </c>
      <c r="M100" s="113">
        <f>SUMIFS(Dataset!$AA:$AA,Dataset!$F:$F,'credito latam'!$D$11,Dataset!$Z:$Z,M$86,Dataset!$J:$J,"&lt;"&amp;$D100,Dataset!$J:$J,"&gt;="&amp;$C100)</f>
        <v>0</v>
      </c>
      <c r="N100" s="83">
        <f>SUMIFS(Dataset!$AA:$AA,Dataset!$F:$F,'credito latam'!$D$11,Dataset!$Z:$Z,N$86,Dataset!$J:$J,"&lt;"&amp;$D100,Dataset!$J:$J,"&gt;="&amp;$C100)</f>
        <v>0</v>
      </c>
      <c r="O100" s="83">
        <f>SUMIFS(Dataset!$AA:$AA,Dataset!$F:$F,'credito latam'!$D$11,Dataset!$Z:$Z,O$86,Dataset!$J:$J,"&lt;"&amp;$D100,Dataset!$J:$J,"&gt;="&amp;$C100)</f>
        <v>0</v>
      </c>
      <c r="P100" s="83">
        <f>SUMIFS(Dataset!$AA:$AA,Dataset!$F:$F,'credito latam'!$D$11,Dataset!$Z:$Z,P$86,Dataset!$J:$J,"&lt;"&amp;$D100,Dataset!$J:$J,"&gt;="&amp;$C100)</f>
        <v>0</v>
      </c>
      <c r="Q100" s="83">
        <f>SUMIFS(Dataset!$AA:$AA,Dataset!$F:$F,'credito latam'!$D$11,Dataset!$Z:$Z,Q$86,Dataset!$J:$J,"&lt;"&amp;$D100,Dataset!$J:$J,"&gt;="&amp;$C100)</f>
        <v>0</v>
      </c>
      <c r="R100" s="83">
        <f>SUMIFS(Dataset!$AA:$AA,Dataset!$F:$F,'credito latam'!$D$11,Dataset!$Z:$Z,R$86,Dataset!$J:$J,"&lt;"&amp;$D100,Dataset!$J:$J,"&gt;="&amp;$C100)</f>
        <v>0</v>
      </c>
      <c r="S100" s="114">
        <f>SUMIFS(Dataset!$AA:$AA,Dataset!$F:$F,'credito latam'!$D$11,Dataset!$J:$J,"&lt;"&amp;$D100,Dataset!J:J,"&gt;="&amp;$C100,Dataset!$Z:$Z,"&lt;&gt;CL",Dataset!$Z:$Z,"&lt;&gt;MX",Dataset!$Z:$Z,"&lt;&gt;CO",Dataset!$Z:$Z,"&lt;&gt;PE",Dataset!$Z:$Z,"&lt;&gt;BR",Dataset!$Z:$Z,"&lt;&gt;PA")</f>
        <v>0</v>
      </c>
      <c r="T100" s="84">
        <f t="shared" si="12"/>
        <v>0</v>
      </c>
    </row>
    <row r="101" spans="3:20" ht="27" customHeight="1" x14ac:dyDescent="0.3">
      <c r="C101" s="61">
        <v>13.5</v>
      </c>
      <c r="D101" s="81">
        <v>14.5</v>
      </c>
      <c r="E101" s="113">
        <f>SUMIFS(Dataset!$AJ:$AJ,Dataset!$F:$F,'credito latam'!$D$11,Dataset!$Z:$Z,E$86,Dataset!$J:$J,"&lt;"&amp;$D101,Dataset!$J:$J,"&gt;="&amp;$C101)</f>
        <v>0</v>
      </c>
      <c r="F101" s="101">
        <f>SUMIFS(Dataset!$AJ:$AJ,Dataset!$F:$F,'credito latam'!$D$11,Dataset!$Z:$Z,F$86,Dataset!$J:$J,"&lt;"&amp;$D101,Dataset!$J:$J,"&gt;="&amp;$C101)</f>
        <v>0</v>
      </c>
      <c r="G101" s="101">
        <f>SUMIFS(Dataset!$AJ:$AJ,Dataset!$F:$F,'credito latam'!$D$11,Dataset!$Z:$Z,G$86,Dataset!$J:$J,"&lt;"&amp;$D101,Dataset!$J:$J,"&gt;="&amp;$C101)</f>
        <v>0</v>
      </c>
      <c r="H101" s="101">
        <f>SUMIFS(Dataset!$AJ:$AJ,Dataset!$F:$F,'credito latam'!$D$11,Dataset!$Z:$Z,H$86,Dataset!$J:$J,"&lt;"&amp;$D101,Dataset!$J:$J,"&gt;="&amp;$C101)</f>
        <v>0</v>
      </c>
      <c r="I101" s="101">
        <f>SUMIFS(Dataset!$AJ:$AJ,Dataset!$F:$F,'credito latam'!$D$11,Dataset!$Z:$Z,I$86,Dataset!$J:$J,"&lt;"&amp;$D101,Dataset!$J:$J,"&gt;="&amp;$C101)</f>
        <v>0</v>
      </c>
      <c r="J101" s="101">
        <f>SUMIFS(Dataset!$AJ:$AJ,Dataset!$F:$F,'credito latam'!$D$11,Dataset!$Z:$Z,J$86,Dataset!$J:$J,"&lt;"&amp;$D101,Dataset!$J:$J,"&gt;="&amp;$C101)</f>
        <v>0</v>
      </c>
      <c r="K101" s="102">
        <f>SUMIFS(Dataset!$AK:$AK,Dataset!$F:$F,'credito latam'!$D$11,Dataset!$J:$J,"&lt;"&amp;$D101,Dataset!J:J,"&gt;="&amp;$C101,Dataset!$Z:$Z,"&lt;&gt;CL",Dataset!$Z:$Z,"&lt;&gt;MX",Dataset!$Z:$Z,"&lt;&gt;CO",Dataset!$Z:$Z,"&lt;&gt;PE",Dataset!$Z:$Z,"&lt;&gt;BR",Dataset!$Z:$Z,"&lt;&gt;PA")</f>
        <v>0</v>
      </c>
      <c r="L101" s="84">
        <f t="shared" si="11"/>
        <v>0</v>
      </c>
      <c r="M101" s="113">
        <f>SUMIFS(Dataset!$AA:$AA,Dataset!$F:$F,'credito latam'!$D$11,Dataset!$Z:$Z,M$86,Dataset!$J:$J,"&lt;"&amp;$D101,Dataset!$J:$J,"&gt;="&amp;$C101)</f>
        <v>0</v>
      </c>
      <c r="N101" s="101">
        <f>SUMIFS(Dataset!$AA:$AA,Dataset!$F:$F,'credito latam'!$D$11,Dataset!$Z:$Z,N$86,Dataset!$J:$J,"&lt;"&amp;$D101,Dataset!$J:$J,"&gt;="&amp;$C101)</f>
        <v>0</v>
      </c>
      <c r="O101" s="101">
        <f>SUMIFS(Dataset!$AA:$AA,Dataset!$F:$F,'credito latam'!$D$11,Dataset!$Z:$Z,O$86,Dataset!$J:$J,"&lt;"&amp;$D101,Dataset!$J:$J,"&gt;="&amp;$C101)</f>
        <v>0</v>
      </c>
      <c r="P101" s="101">
        <f>SUMIFS(Dataset!$AA:$AA,Dataset!$F:$F,'credito latam'!$D$11,Dataset!$Z:$Z,P$86,Dataset!$J:$J,"&lt;"&amp;$D101,Dataset!$J:$J,"&gt;="&amp;$C101)</f>
        <v>0</v>
      </c>
      <c r="Q101" s="101">
        <f>SUMIFS(Dataset!$AA:$AA,Dataset!$F:$F,'credito latam'!$D$11,Dataset!$Z:$Z,Q$86,Dataset!$J:$J,"&lt;"&amp;$D101,Dataset!$J:$J,"&gt;="&amp;$C101)</f>
        <v>0</v>
      </c>
      <c r="R101" s="101">
        <f>SUMIFS(Dataset!$AA:$AA,Dataset!$F:$F,'credito latam'!$D$11,Dataset!$Z:$Z,R$86,Dataset!$J:$J,"&lt;"&amp;$D101,Dataset!$J:$J,"&gt;="&amp;$C101)</f>
        <v>0</v>
      </c>
      <c r="S101" s="102">
        <f>SUMIFS(Dataset!$AA:$AA,Dataset!$F:$F,'credito latam'!$D$11,Dataset!$J:$J,"&lt;"&amp;$D101,Dataset!J:J,"&gt;="&amp;$C101,Dataset!$Z:$Z,"&lt;&gt;CL",Dataset!$Z:$Z,"&lt;&gt;MX",Dataset!$Z:$Z,"&lt;&gt;CO",Dataset!$Z:$Z,"&lt;&gt;PE",Dataset!$Z:$Z,"&lt;&gt;BR",Dataset!$Z:$Z,"&lt;&gt;PA")</f>
        <v>0</v>
      </c>
      <c r="T101" s="84">
        <f t="shared" si="12"/>
        <v>0</v>
      </c>
    </row>
    <row r="102" spans="3:20" ht="27" customHeight="1" x14ac:dyDescent="0.3">
      <c r="C102" s="61">
        <v>14.5</v>
      </c>
      <c r="D102" s="81">
        <v>100</v>
      </c>
      <c r="E102" s="119">
        <f>SUMIFS(Dataset!$AJ:$AJ,Dataset!$F:$F,'credito latam'!$D$11,Dataset!$Z:$Z,E$86,Dataset!$J:$J,"&lt;"&amp;$D102,Dataset!$J:$J,"&gt;="&amp;$C102)</f>
        <v>0</v>
      </c>
      <c r="F102" s="89">
        <f>SUMIFS(Dataset!$AJ:$AJ,Dataset!$F:$F,'credito latam'!$D$11,Dataset!$Z:$Z,F$86,Dataset!$J:$J,"&lt;"&amp;$D102,Dataset!$J:$J,"&gt;="&amp;$C102)</f>
        <v>0</v>
      </c>
      <c r="G102" s="89">
        <f>SUMIFS(Dataset!$AJ:$AJ,Dataset!$F:$F,'credito latam'!$D$11,Dataset!$Z:$Z,G$86,Dataset!$J:$J,"&lt;"&amp;$D102,Dataset!$J:$J,"&gt;="&amp;$C102)</f>
        <v>0</v>
      </c>
      <c r="H102" s="89">
        <f>SUMIFS(Dataset!$AJ:$AJ,Dataset!$F:$F,'credito latam'!$D$11,Dataset!$Z:$Z,H$86,Dataset!$J:$J,"&lt;"&amp;$D102,Dataset!$J:$J,"&gt;="&amp;$C102)</f>
        <v>0</v>
      </c>
      <c r="I102" s="89">
        <f>SUMIFS(Dataset!$AJ:$AJ,Dataset!$F:$F,'credito latam'!$D$11,Dataset!$Z:$Z,I$86,Dataset!$J:$J,"&lt;"&amp;$D102,Dataset!$J:$J,"&gt;="&amp;$C102)</f>
        <v>0</v>
      </c>
      <c r="J102" s="89">
        <f>SUMIFS(Dataset!$AJ:$AJ,Dataset!$F:$F,'credito latam'!$D$11,Dataset!$Z:$Z,J$86,Dataset!$J:$J,"&lt;"&amp;$D102,Dataset!$J:$J,"&gt;="&amp;$C102)</f>
        <v>0</v>
      </c>
      <c r="K102" s="120">
        <f>SUMIFS(Dataset!$AK:$AK,Dataset!$F:$F,'credito latam'!$D$11,Dataset!$J:$J,"&lt;"&amp;$D102,Dataset!J:J,"&gt;="&amp;$C102,Dataset!$Z:$Z,"&lt;&gt;CL",Dataset!$Z:$Z,"&lt;&gt;MX",Dataset!$Z:$Z,"&lt;&gt;CO",Dataset!$Z:$Z,"&lt;&gt;PE",Dataset!$Z:$Z,"&lt;&gt;BR",Dataset!$Z:$Z,"&lt;&gt;PA")</f>
        <v>0</v>
      </c>
      <c r="L102" s="90">
        <f t="shared" si="11"/>
        <v>0</v>
      </c>
      <c r="M102" s="119">
        <f>SUMIFS(Dataset!$AA:$AA,Dataset!$F:$F,'credito latam'!$D$11,Dataset!$Z:$Z,M$86,Dataset!$J:$J,"&lt;"&amp;$D102,Dataset!$J:$J,"&gt;="&amp;$C102)</f>
        <v>0</v>
      </c>
      <c r="N102" s="89">
        <f>SUMIFS(Dataset!$AA:$AA,Dataset!$F:$F,'credito latam'!$D$11,Dataset!$Z:$Z,N$86,Dataset!$J:$J,"&lt;"&amp;$D102,Dataset!$J:$J,"&gt;="&amp;$C102)</f>
        <v>0</v>
      </c>
      <c r="O102" s="89">
        <f>SUMIFS(Dataset!$AA:$AA,Dataset!$F:$F,'credito latam'!$D$11,Dataset!$Z:$Z,O$86,Dataset!$J:$J,"&lt;"&amp;$D102,Dataset!$J:$J,"&gt;="&amp;$C102)</f>
        <v>0</v>
      </c>
      <c r="P102" s="89">
        <f>SUMIFS(Dataset!$AA:$AA,Dataset!$F:$F,'credito latam'!$D$11,Dataset!$Z:$Z,P$86,Dataset!$J:$J,"&lt;"&amp;$D102,Dataset!$J:$J,"&gt;="&amp;$C102)</f>
        <v>0</v>
      </c>
      <c r="Q102" s="89">
        <f>SUMIFS(Dataset!$AA:$AA,Dataset!$F:$F,'credito latam'!$D$11,Dataset!$Z:$Z,Q$86,Dataset!$J:$J,"&lt;"&amp;$D102,Dataset!$J:$J,"&gt;="&amp;$C102)</f>
        <v>0</v>
      </c>
      <c r="R102" s="89">
        <f>SUMIFS(Dataset!$AA:$AA,Dataset!$F:$F,'credito latam'!$D$11,Dataset!$Z:$Z,R$86,Dataset!$J:$J,"&lt;"&amp;$D102,Dataset!$J:$J,"&gt;="&amp;$C102)</f>
        <v>0</v>
      </c>
      <c r="S102" s="120">
        <f>SUMIFS(Dataset!$AA:$AA,Dataset!$F:$F,'credito latam'!$D$11,Dataset!$J:$J,"&lt;"&amp;$D102,Dataset!J:J,"&gt;="&amp;$C102,Dataset!$Z:$Z,"&lt;&gt;CL",Dataset!$Z:$Z,"&lt;&gt;MX",Dataset!$Z:$Z,"&lt;&gt;CO",Dataset!$Z:$Z,"&lt;&gt;PE",Dataset!$Z:$Z,"&lt;&gt;BR",Dataset!$Z:$Z,"&lt;&gt;PA")</f>
        <v>0</v>
      </c>
      <c r="T102" s="90">
        <f t="shared" si="12"/>
        <v>0</v>
      </c>
    </row>
    <row r="103" spans="3:20" ht="27" customHeight="1" x14ac:dyDescent="0.3">
      <c r="C103" s="183"/>
      <c r="D103" s="184"/>
      <c r="E103" s="75">
        <f t="shared" ref="E103:K103" si="13">SUM(E87:E102)</f>
        <v>0</v>
      </c>
      <c r="F103" s="75">
        <f t="shared" si="13"/>
        <v>0</v>
      </c>
      <c r="G103" s="75">
        <f t="shared" si="13"/>
        <v>0</v>
      </c>
      <c r="H103" s="75">
        <f t="shared" si="13"/>
        <v>0</v>
      </c>
      <c r="I103" s="75">
        <f t="shared" si="13"/>
        <v>0</v>
      </c>
      <c r="J103" s="75">
        <f t="shared" si="13"/>
        <v>0</v>
      </c>
      <c r="K103" s="123">
        <f t="shared" si="13"/>
        <v>0</v>
      </c>
      <c r="L103" s="84">
        <f t="shared" si="11"/>
        <v>0</v>
      </c>
      <c r="M103" s="75">
        <f t="shared" ref="M103:S103" si="14">SUM(M87:M102)</f>
        <v>0</v>
      </c>
      <c r="N103" s="75">
        <f t="shared" si="14"/>
        <v>0</v>
      </c>
      <c r="O103" s="75">
        <f t="shared" si="14"/>
        <v>0</v>
      </c>
      <c r="P103" s="75">
        <f t="shared" si="14"/>
        <v>0</v>
      </c>
      <c r="Q103" s="75">
        <f t="shared" si="14"/>
        <v>0</v>
      </c>
      <c r="R103" s="75">
        <f t="shared" si="14"/>
        <v>0</v>
      </c>
      <c r="S103" s="123">
        <f t="shared" si="14"/>
        <v>0</v>
      </c>
      <c r="T103" s="84">
        <f t="shared" si="12"/>
        <v>0</v>
      </c>
    </row>
    <row r="106" spans="3:20" ht="44.25" customHeight="1" x14ac:dyDescent="0.3"/>
    <row r="114" ht="48" customHeight="1" x14ac:dyDescent="0.3"/>
    <row r="130" spans="3:34" ht="27" customHeight="1" x14ac:dyDescent="0.3"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  <c r="AA130" s="108"/>
      <c r="AB130" s="108"/>
      <c r="AC130" s="108"/>
      <c r="AD130" s="108"/>
      <c r="AE130" s="108"/>
      <c r="AF130" s="108"/>
      <c r="AG130" s="108"/>
      <c r="AH130" s="108"/>
    </row>
    <row r="131" spans="3:34" ht="45" customHeight="1" x14ac:dyDescent="0.4">
      <c r="C131" s="107" t="s">
        <v>70</v>
      </c>
      <c r="D131" s="42"/>
      <c r="E131" s="42"/>
    </row>
  </sheetData>
  <mergeCells count="19">
    <mergeCell ref="AA42:AG42"/>
    <mergeCell ref="E63:Q63"/>
    <mergeCell ref="S63:AE63"/>
    <mergeCell ref="C3:AH3"/>
    <mergeCell ref="C4:AH4"/>
    <mergeCell ref="C14:I14"/>
    <mergeCell ref="K14:R14"/>
    <mergeCell ref="C103:D103"/>
    <mergeCell ref="C61:D61"/>
    <mergeCell ref="C86:D86"/>
    <mergeCell ref="C44:D44"/>
    <mergeCell ref="C65:D65"/>
    <mergeCell ref="C82:D82"/>
    <mergeCell ref="M84:S84"/>
    <mergeCell ref="E42:K42"/>
    <mergeCell ref="E84:K84"/>
    <mergeCell ref="C29:H29"/>
    <mergeCell ref="K29:R29"/>
    <mergeCell ref="M42:Y42"/>
  </mergeCells>
  <conditionalFormatting sqref="E45:K60">
    <cfRule type="colorScale" priority="947">
      <colorScale>
        <cfvo type="min"/>
        <cfvo type="max"/>
        <color theme="0"/>
        <color theme="4" tint="0.39997558519241921"/>
      </colorScale>
    </cfRule>
  </conditionalFormatting>
  <conditionalFormatting sqref="AA45:AG60">
    <cfRule type="colorScale" priority="15">
      <colorScale>
        <cfvo type="min"/>
        <cfvo type="max"/>
        <color theme="0"/>
        <color theme="4" tint="0.39997558519241921"/>
      </colorScale>
    </cfRule>
  </conditionalFormatting>
  <conditionalFormatting sqref="M45:R60">
    <cfRule type="colorScale" priority="14">
      <colorScale>
        <cfvo type="min"/>
        <cfvo type="max"/>
        <color theme="0"/>
        <color theme="4" tint="0.39997558519241921"/>
      </colorScale>
    </cfRule>
  </conditionalFormatting>
  <conditionalFormatting sqref="S45:T60">
    <cfRule type="colorScale" priority="13">
      <colorScale>
        <cfvo type="min"/>
        <cfvo type="max"/>
        <color theme="0"/>
        <color theme="4" tint="0.39997558519241921"/>
      </colorScale>
    </cfRule>
  </conditionalFormatting>
  <conditionalFormatting sqref="U45:V60">
    <cfRule type="colorScale" priority="12">
      <colorScale>
        <cfvo type="min"/>
        <cfvo type="max"/>
        <color theme="0"/>
        <color theme="4" tint="0.39997558519241921"/>
      </colorScale>
    </cfRule>
  </conditionalFormatting>
  <conditionalFormatting sqref="W45:Y60">
    <cfRule type="colorScale" priority="10">
      <colorScale>
        <cfvo type="min"/>
        <cfvo type="max"/>
        <color theme="0"/>
        <color theme="4" tint="0.39997558519241921"/>
      </colorScale>
    </cfRule>
  </conditionalFormatting>
  <conditionalFormatting sqref="E66:Q81">
    <cfRule type="colorScale" priority="5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S66:AE81">
    <cfRule type="colorScale" priority="4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E87:K102">
    <cfRule type="colorScale" priority="3">
      <colorScale>
        <cfvo type="min"/>
        <cfvo type="percentile" val="50"/>
        <cfvo type="max"/>
        <color theme="6" tint="0.59999389629810485"/>
        <color theme="0"/>
        <color theme="4" tint="0.39997558519241921"/>
      </colorScale>
    </cfRule>
  </conditionalFormatting>
  <conditionalFormatting sqref="M87:S102">
    <cfRule type="colorScale" priority="1">
      <colorScale>
        <cfvo type="min"/>
        <cfvo type="percentile" val="50"/>
        <cfvo type="max"/>
        <color theme="6" tint="0.59999389629810485"/>
        <color theme="0"/>
        <color theme="4" tint="0.39997558519241921"/>
      </colorScale>
    </cfRule>
  </conditionalFormatting>
  <printOptions horizontalCentered="1"/>
  <pageMargins left="0" right="0" top="0" bottom="0" header="0" footer="0"/>
  <pageSetup scale="13" orientation="landscape" r:id="rId1"/>
  <ignoredErrors>
    <ignoredError sqref="X45:X60 P66:P81 AD66:AD81 R82 Z61" 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2" tint="0.249977111117893"/>
    <pageSetUpPr fitToPage="1"/>
  </sheetPr>
  <dimension ref="C3:AF107"/>
  <sheetViews>
    <sheetView showGridLines="0" showZeros="0" tabSelected="1" view="pageBreakPreview" topLeftCell="A8" zoomScale="25" zoomScaleNormal="25" zoomScaleSheetLayoutView="25" zoomScalePageLayoutView="10" workbookViewId="0">
      <selection activeCell="K15" sqref="K15"/>
    </sheetView>
  </sheetViews>
  <sheetFormatPr baseColWidth="10" defaultRowHeight="27" customHeight="1" x14ac:dyDescent="0.3"/>
  <cols>
    <col min="1" max="1" width="11" style="22" customWidth="1"/>
    <col min="2" max="2" width="9.75" style="22" customWidth="1"/>
    <col min="3" max="3" width="73.5" style="22" customWidth="1"/>
    <col min="4" max="4" width="81.125" style="22" customWidth="1"/>
    <col min="5" max="5" width="59" style="22" customWidth="1"/>
    <col min="6" max="6" width="39.625" style="22" customWidth="1"/>
    <col min="7" max="7" width="40.875" style="22" customWidth="1"/>
    <col min="8" max="8" width="35" style="22" customWidth="1"/>
    <col min="9" max="9" width="34.25" style="22" customWidth="1"/>
    <col min="10" max="10" width="13.875" style="22" customWidth="1"/>
    <col min="11" max="11" width="42.375" style="22" customWidth="1"/>
    <col min="12" max="12" width="116.625" style="22" customWidth="1"/>
    <col min="13" max="13" width="39.625" style="22" customWidth="1"/>
    <col min="14" max="14" width="28.75" style="22" customWidth="1"/>
    <col min="15" max="15" width="27.875" style="22" customWidth="1"/>
    <col min="16" max="16" width="44.75" style="22" customWidth="1"/>
    <col min="17" max="17" width="19.625" style="22" customWidth="1"/>
    <col min="18" max="18" width="25.25" style="22" customWidth="1"/>
    <col min="19" max="19" width="29" style="22" customWidth="1"/>
    <col min="20" max="20" width="30.375" style="22" customWidth="1"/>
    <col min="21" max="21" width="30.25" style="22" customWidth="1"/>
    <col min="22" max="22" width="32.875" style="22" customWidth="1"/>
    <col min="23" max="23" width="25.125" style="22" customWidth="1"/>
    <col min="24" max="24" width="30.625" style="22" customWidth="1"/>
    <col min="25" max="25" width="32.625" style="22" customWidth="1"/>
    <col min="26" max="26" width="31.75" style="22" customWidth="1"/>
    <col min="27" max="27" width="41.5" style="22" customWidth="1"/>
    <col min="28" max="28" width="38.625" style="22" customWidth="1"/>
    <col min="29" max="29" width="42" style="22" customWidth="1"/>
    <col min="30" max="30" width="38.5" style="22" customWidth="1"/>
    <col min="31" max="31" width="37.625" style="22" customWidth="1"/>
    <col min="32" max="32" width="40.25" style="22" customWidth="1"/>
    <col min="33" max="16384" width="11" style="22"/>
  </cols>
  <sheetData>
    <row r="3" spans="3:32" ht="127.5" customHeight="1" x14ac:dyDescent="0.3">
      <c r="C3" s="190" t="s">
        <v>220</v>
      </c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  <c r="AA3" s="190"/>
      <c r="AB3" s="190"/>
      <c r="AC3" s="190"/>
      <c r="AD3" s="190"/>
      <c r="AE3" s="190"/>
      <c r="AF3" s="190"/>
    </row>
    <row r="4" spans="3:32" ht="99" customHeight="1" x14ac:dyDescent="0.3">
      <c r="C4" s="191" t="str">
        <f>TEXT(Historical!H2," mmmm dd, aaaa")</f>
        <v xml:space="preserve"> marzo 06, martes</v>
      </c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  <c r="AA4" s="191"/>
      <c r="AB4" s="191"/>
      <c r="AC4" s="191"/>
      <c r="AD4" s="191"/>
      <c r="AE4" s="191"/>
      <c r="AF4" s="191"/>
    </row>
    <row r="6" spans="3:32" ht="27" customHeight="1" x14ac:dyDescent="0.3">
      <c r="L6" s="126"/>
    </row>
    <row r="10" spans="3:32" ht="27" customHeight="1" x14ac:dyDescent="0.3">
      <c r="F10" s="45"/>
    </row>
    <row r="11" spans="3:32" ht="90" customHeight="1" x14ac:dyDescent="1.1000000000000001">
      <c r="D11" s="127" t="s">
        <v>112</v>
      </c>
      <c r="AC11" s="128"/>
      <c r="AF11" s="128"/>
    </row>
    <row r="12" spans="3:32" ht="27" customHeight="1" x14ac:dyDescent="0.3">
      <c r="O12" s="50"/>
      <c r="P12" s="50"/>
      <c r="Q12" s="50"/>
      <c r="R12" s="50"/>
      <c r="S12" s="50"/>
    </row>
    <row r="13" spans="3:32" ht="51" customHeight="1" x14ac:dyDescent="0.3">
      <c r="J13" s="50"/>
    </row>
    <row r="14" spans="3:32" ht="95.25" customHeight="1" x14ac:dyDescent="0.3">
      <c r="C14" s="186" t="s">
        <v>108</v>
      </c>
      <c r="D14" s="186"/>
      <c r="E14" s="186"/>
      <c r="F14" s="186"/>
      <c r="G14" s="186"/>
      <c r="H14" s="186"/>
      <c r="I14" s="186"/>
      <c r="K14" s="186" t="s">
        <v>224</v>
      </c>
      <c r="L14" s="186"/>
      <c r="M14" s="186"/>
      <c r="N14" s="186"/>
      <c r="O14" s="186"/>
      <c r="P14" s="186"/>
      <c r="R14" s="186" t="s">
        <v>228</v>
      </c>
      <c r="S14" s="186"/>
      <c r="T14" s="186"/>
      <c r="U14" s="186"/>
      <c r="V14" s="186"/>
      <c r="W14" s="186"/>
      <c r="X14" s="186"/>
      <c r="Y14" s="186"/>
      <c r="Z14" s="186"/>
      <c r="AA14" s="186"/>
      <c r="AB14" s="186"/>
      <c r="AC14" s="186"/>
      <c r="AD14" s="186"/>
      <c r="AE14" s="186"/>
      <c r="AF14" s="186"/>
    </row>
    <row r="15" spans="3:32" ht="35.25" customHeight="1" x14ac:dyDescent="0.3">
      <c r="R15" s="69"/>
    </row>
    <row r="16" spans="3:32" ht="62.25" customHeight="1" x14ac:dyDescent="0.8">
      <c r="C16" s="129"/>
      <c r="D16" s="130" t="s">
        <v>66</v>
      </c>
      <c r="E16" s="130" t="s">
        <v>71</v>
      </c>
      <c r="F16" s="130" t="s">
        <v>5</v>
      </c>
      <c r="G16" s="130" t="s">
        <v>160</v>
      </c>
      <c r="H16" s="130" t="s">
        <v>6</v>
      </c>
      <c r="I16" s="130" t="s">
        <v>21</v>
      </c>
      <c r="K16" s="130" t="s">
        <v>81</v>
      </c>
      <c r="L16" s="130" t="s">
        <v>82</v>
      </c>
      <c r="M16" s="130" t="s">
        <v>66</v>
      </c>
      <c r="N16" s="130" t="s">
        <v>6</v>
      </c>
      <c r="O16" s="130" t="s">
        <v>21</v>
      </c>
      <c r="P16" s="130" t="s">
        <v>68</v>
      </c>
      <c r="R16" s="189" t="s">
        <v>68</v>
      </c>
      <c r="S16" s="189"/>
      <c r="T16" s="130" t="s">
        <v>72</v>
      </c>
      <c r="U16" s="130" t="s">
        <v>73</v>
      </c>
      <c r="V16" s="130" t="s">
        <v>86</v>
      </c>
      <c r="W16" s="130" t="s">
        <v>74</v>
      </c>
      <c r="X16" s="130" t="s">
        <v>75</v>
      </c>
      <c r="Y16" s="130" t="s">
        <v>116</v>
      </c>
      <c r="Z16" s="130" t="s">
        <v>76</v>
      </c>
      <c r="AA16" s="130" t="s">
        <v>77</v>
      </c>
      <c r="AB16" s="130" t="s">
        <v>78</v>
      </c>
      <c r="AC16" s="130" t="s">
        <v>79</v>
      </c>
      <c r="AD16" s="130" t="s">
        <v>80</v>
      </c>
      <c r="AE16" s="130" t="s">
        <v>160</v>
      </c>
      <c r="AF16" s="130" t="s">
        <v>161</v>
      </c>
    </row>
    <row r="17" spans="3:32" ht="62.25" customHeight="1" x14ac:dyDescent="0.8">
      <c r="C17" s="131" t="s">
        <v>91</v>
      </c>
      <c r="D17" s="132">
        <f>SUMIFS(Dataset!AK:AK,Dataset!F:F,'renta fija'!D11,Dataset!AH:AH,"deposito", Dataset!T:T,"$")</f>
        <v>0</v>
      </c>
      <c r="E17" s="133">
        <f>SUMIFS(Dataset!V:V,Dataset!F:F,'renta fija'!D11,Dataset!AH:AH,"deposito", Dataset!T:T,"$")/1000000</f>
        <v>0</v>
      </c>
      <c r="F17" s="134">
        <f>SUMIFS(Dataset!H:H,Dataset!F:F,'renta fija'!D11,Dataset!AH:AH,"deposito", Dataset!T:T,"$")*365</f>
        <v>0</v>
      </c>
      <c r="G17" s="132">
        <f>SUMIFS(Dataset!AQ:AQ,Dataset!F:F,'renta fija'!D11,Dataset!AH:AH,"deposito", Dataset!T:T,"$")</f>
        <v>0</v>
      </c>
      <c r="H17" s="132">
        <f>SUMIFS(Dataset!I:I,Dataset!F:F,'renta fija'!D11,Dataset!AH:AH,"deposito", Dataset!T:T,"$")</f>
        <v>0</v>
      </c>
      <c r="I17" s="132">
        <f>SUMIFS(Dataset!AA:AA,Dataset!F:F,'renta fija'!D11,Dataset!AH:AH,"deposito", Dataset!T:T,"$")</f>
        <v>0</v>
      </c>
      <c r="K17" s="135">
        <v>1</v>
      </c>
      <c r="L17" s="132" t="str">
        <f>IFERROR(INDEX(Dataset!X:X,MATCH(_xlfn.AGGREGATE(14,6,Dataset!I:I/(Dataset!F:F=$D$11),K17),Dataset!I:I,0),1),"-")</f>
        <v>-</v>
      </c>
      <c r="M17" s="132" t="str">
        <f>IFERROR(INDEX(Dataset!AK:AK,MATCH(_xlfn.AGGREGATE(14,6,Dataset!I:I/(Dataset!F:F=$D$11),K17),Dataset!I:I,0),1),"-")</f>
        <v>-</v>
      </c>
      <c r="N17" s="132" t="str">
        <f>IFERROR(INDEX(Dataset!I:I,MATCH(_xlfn.AGGREGATE(14,6,Dataset!I:I/(Dataset!F:F=$D$11),K17),Dataset!I:I,0),1),"-")</f>
        <v>-</v>
      </c>
      <c r="O17" s="132" t="str">
        <f>IFERROR(INDEX(Dataset!AA:AA,MATCH(_xlfn.AGGREGATE(14,6,Dataset!I:I/(Dataset!F:F=$D$11),K17),Dataset!I:I,0),1),"-")</f>
        <v>-</v>
      </c>
      <c r="P17" s="134" t="str">
        <f>IFERROR(INDEX(Dataset!J:J,MATCH(_xlfn.AGGREGATE(14,6,Dataset!I:I/(Dataset!F:F=$D$11),K17),Dataset!I:I,0),1),"-")</f>
        <v>-</v>
      </c>
      <c r="R17" s="136">
        <v>0</v>
      </c>
      <c r="S17" s="137">
        <v>15</v>
      </c>
      <c r="T17" s="138">
        <f>SUMIFS(Dataset!AJ:AJ,Dataset!F:F,'renta fija'!$D$11,Dataset!AH:AH,"deposito",Dataset!T:T,"$",Dataset!J:J,"&lt;"&amp;$S17/365,Dataset!J:J,"&gt;="&amp;$R17/365)</f>
        <v>0</v>
      </c>
      <c r="U17" s="138">
        <f>SUMIFS(Dataset!AJ:AJ,Dataset!F:F,'renta fija'!$D$11,Dataset!AH:AH,"deposito",Dataset!T:T,"uf",Dataset!J:J,"&lt;"&amp;$S17/365,Dataset!J:J,"&gt;="&amp;$R17/365)</f>
        <v>0</v>
      </c>
      <c r="V17" s="138">
        <f>SUMIFS(Dataset!AJ:AJ,Dataset!F:F,'renta fija'!$D$11,Dataset!AH:AH,"deposito",Dataset!T:T,"us$",Dataset!J:J,"&lt;"&amp;$S17/365,Dataset!J:J,"&gt;="&amp;$R17/365)</f>
        <v>0</v>
      </c>
      <c r="W17" s="138">
        <f>SUMIFS(Dataset!AJ:AJ,Dataset!F:F,'renta fija'!$D$11,Dataset!AH:AH,"bono de gobierno",Dataset!T:T,"$",Dataset!J:J,"&lt;"&amp;$S17/365,Dataset!J:J,"&gt;="&amp;$R17/365)</f>
        <v>0</v>
      </c>
      <c r="X17" s="138">
        <f>SUMIFS(Dataset!AJ:AJ,Dataset!F:F,'renta fija'!$D$11,Dataset!AH:AH,"bono de gobierno",Dataset!T:T,"UF",Dataset!J:J,"&lt;"&amp;$S17/365,Dataset!J:J,"&gt;="&amp;$R17/365)</f>
        <v>0</v>
      </c>
      <c r="Y17" s="138">
        <f>SUMIFS(Dataset!AJ:AJ,Dataset!F:F,'renta fija'!$D$11,Dataset!AH:AH,"bono de gobierno",Dataset!T:T,"US$",Dataset!J:J,"&lt;"&amp;$S17/365,Dataset!J:J,"&gt;="&amp;$R17/365)</f>
        <v>0</v>
      </c>
      <c r="Z17" s="138">
        <f>SUMIFS(Dataset!AJ:AJ,Dataset!F:F,'renta fija'!$D$11,Dataset!AH:AH,"bono corporativo",Dataset!T:T,"$",Dataset!J:J,"&lt;"&amp;$S17/365,Dataset!J:J,"&gt;="&amp;$R17/365)</f>
        <v>0</v>
      </c>
      <c r="AA17" s="138">
        <f>SUMIFS(Dataset!AJ:AJ,Dataset!F:F,'renta fija'!$D$11,Dataset!AH:AH,"bono corporativo",Dataset!T:T,"UF",Dataset!J:J,"&lt;"&amp;$S17/365,Dataset!J:J,"&gt;="&amp;$R17/365)</f>
        <v>0</v>
      </c>
      <c r="AB17" s="138">
        <f>SUMIFS(Dataset!AJ:AJ,Dataset!F:F,'renta fija'!$D$11,Dataset!AH:AH,"bono corporativo",Dataset!T:T,"US$",Dataset!J:J,"&lt;"&amp;$S17/365,Dataset!J:J,"&gt;="&amp;$R17/365)</f>
        <v>0</v>
      </c>
      <c r="AC17" s="138">
        <f>SUMIFS(Dataset!AJ:AJ,Dataset!F:F,'renta fija'!$D$11,Dataset!AH:AH,"&lt;&gt;letra hipotecaria",Dataset!AH:AH,"&lt;&gt;bono corporativo",Dataset!AH:AH,"&lt;&gt;deposito",Dataset!AH:AH,"&lt;&gt;bono de gobierno",Dataset!J:J,"&lt;"&amp;$S17/365,Dataset!J:J,"&gt;="&amp;$R17/365)</f>
        <v>0</v>
      </c>
      <c r="AD17" s="139">
        <f t="shared" ref="AD17:AD44" si="0">SUM(T17:AC17)</f>
        <v>0</v>
      </c>
      <c r="AE17" s="139">
        <f>SUMIFS(Dataset!AQ:AQ,Dataset!F:F,'renta fija'!$D$11,Dataset!J:J,"&lt;"&amp;$S17/365,Dataset!J:J,"&gt;="&amp;$R17/365)</f>
        <v>0</v>
      </c>
      <c r="AF17" s="140">
        <f>IFERROR(SUMIFS(Dataset!AQ:AQ,Dataset!F:F,'renta fija'!$D$11,Dataset!J:J,"&lt;"&amp;$S17/365,Dataset!J:J,"&gt;="&amp;$R17/365)/AD17,0)</f>
        <v>0</v>
      </c>
    </row>
    <row r="18" spans="3:32" ht="62.25" customHeight="1" x14ac:dyDescent="0.8">
      <c r="C18" s="131" t="s">
        <v>60</v>
      </c>
      <c r="D18" s="132">
        <f>SUMIFS(Dataset!AK:AK,Dataset!F:F,'renta fija'!D11,Dataset!AH:AH,"deposito", Dataset!T:T,"uf")</f>
        <v>0</v>
      </c>
      <c r="E18" s="133">
        <f>SUMIFS(Dataset!V:V,Dataset!F:F,'renta fija'!D11,Dataset!AH:AH,"deposito", Dataset!T:T,"uf")/1000000</f>
        <v>0</v>
      </c>
      <c r="F18" s="134">
        <f>SUMIFS(Dataset!H:H,Dataset!F:F,'renta fija'!D11,Dataset!AH:AH,"deposito", Dataset!T:T,"uf")*265</f>
        <v>0</v>
      </c>
      <c r="G18" s="132">
        <f>SUMIFS(Dataset!AQ:AQ,Dataset!F:F,'renta fija'!D11,Dataset!AH:AH,"deposito", Dataset!T:T,"uf")</f>
        <v>0</v>
      </c>
      <c r="H18" s="132">
        <f>SUMIFS(Dataset!I:I,Dataset!F:F,'renta fija'!D11,Dataset!AH:AH,"deposito", Dataset!T:T,"uf")</f>
        <v>0</v>
      </c>
      <c r="I18" s="132">
        <f>SUMIFS(Dataset!AA:AA,Dataset!F:F,'renta fija'!D11,Dataset!AH:AH,"deposito", Dataset!T:T,"uf")</f>
        <v>0</v>
      </c>
      <c r="K18" s="135">
        <v>2</v>
      </c>
      <c r="L18" s="132" t="str">
        <f>IFERROR(INDEX(Dataset!X:X,MATCH(_xlfn.AGGREGATE(14,6,Dataset!I:I/(Dataset!F:F=$D$11),K18),Dataset!I:I,0),1),"-")</f>
        <v>-</v>
      </c>
      <c r="M18" s="132" t="str">
        <f>IFERROR(INDEX(Dataset!AK:AK,MATCH(_xlfn.AGGREGATE(14,6,Dataset!I:I/(Dataset!F:F=$D$11),K18),Dataset!I:I,0),1),"-")</f>
        <v>-</v>
      </c>
      <c r="N18" s="132" t="str">
        <f>IFERROR(INDEX(Dataset!I:I,MATCH(_xlfn.AGGREGATE(14,6,Dataset!I:I/(Dataset!F:F=$D$11),K18),Dataset!I:I,0),1),"-")</f>
        <v>-</v>
      </c>
      <c r="O18" s="132" t="str">
        <f>IFERROR(INDEX(Dataset!AA:AA,MATCH(_xlfn.AGGREGATE(14,6,Dataset!I:I/(Dataset!F:F=$D$11),K18),Dataset!I:I,0),1),"-")</f>
        <v>-</v>
      </c>
      <c r="P18" s="134" t="str">
        <f>IFERROR(INDEX(Dataset!J:J,MATCH(_xlfn.AGGREGATE(14,6,Dataset!I:I/(Dataset!F:F=$D$11),K18),Dataset!I:I,0),1),"-")</f>
        <v>-</v>
      </c>
      <c r="R18" s="135">
        <v>15</v>
      </c>
      <c r="S18" s="141">
        <v>30</v>
      </c>
      <c r="T18" s="138">
        <f>SUMIFS(Dataset!AJ:AJ,Dataset!F:F,'renta fija'!$D$11,Dataset!AH:AH,"deposito",Dataset!T:T,"$",Dataset!J:J,"&lt;"&amp;$S18/365,Dataset!J:J,"&gt;="&amp;$R18/365)</f>
        <v>0</v>
      </c>
      <c r="U18" s="138">
        <f>SUMIFS(Dataset!AJ:AJ,Dataset!F:F,'renta fija'!$D$11,Dataset!AH:AH,"deposito",Dataset!T:T,"uf",Dataset!J:J,"&lt;"&amp;$S18/365,Dataset!J:J,"&gt;="&amp;$R18/365)</f>
        <v>0</v>
      </c>
      <c r="V18" s="138">
        <f>SUMIFS(Dataset!AJ:AJ,Dataset!F:F,'renta fija'!$D$11,Dataset!AH:AH,"deposito",Dataset!T:T,"us$",Dataset!J:J,"&lt;"&amp;$S18/365,Dataset!J:J,"&gt;="&amp;$R18/365)</f>
        <v>0</v>
      </c>
      <c r="W18" s="138">
        <f>SUMIFS(Dataset!AJ:AJ,Dataset!F:F,'renta fija'!$D$11,Dataset!AH:AH,"bono de gobierno",Dataset!T:T,"$",Dataset!J:J,"&lt;"&amp;$S18/365,Dataset!J:J,"&gt;="&amp;$R18/365)</f>
        <v>0</v>
      </c>
      <c r="X18" s="138">
        <f>SUMIFS(Dataset!AJ:AJ,Dataset!F:F,'renta fija'!$D$11,Dataset!AH:AH,"bono de gobierno",Dataset!T:T,"UF",Dataset!J:J,"&lt;"&amp;$S18/365,Dataset!J:J,"&gt;="&amp;$R18/365)</f>
        <v>0</v>
      </c>
      <c r="Y18" s="138">
        <f>SUMIFS(Dataset!AJ:AJ,Dataset!F:F,'renta fija'!$D$11,Dataset!AH:AH,"bono de gobierno",Dataset!T:T,"US$",Dataset!J:J,"&lt;"&amp;$S18/365,Dataset!J:J,"&gt;="&amp;$R18/365)</f>
        <v>0</v>
      </c>
      <c r="Z18" s="138">
        <f>SUMIFS(Dataset!AJ:AJ,Dataset!F:F,'renta fija'!$D$11,Dataset!AH:AH,"bono corporativo",Dataset!T:T,"$",Dataset!J:J,"&lt;"&amp;$S18/365,Dataset!J:J,"&gt;="&amp;$R18/365)</f>
        <v>0</v>
      </c>
      <c r="AA18" s="138">
        <f>SUMIFS(Dataset!AJ:AJ,Dataset!F:F,'renta fija'!$D$11,Dataset!AH:AH,"bono corporativo",Dataset!T:T,"UF",Dataset!J:J,"&lt;"&amp;$S18/365,Dataset!J:J,"&gt;="&amp;$R18/365)</f>
        <v>0</v>
      </c>
      <c r="AB18" s="138">
        <f>SUMIFS(Dataset!AJ:AJ,Dataset!F:F,'renta fija'!$D$11,Dataset!AH:AH,"bono corporativo",Dataset!T:T,"US$",Dataset!J:J,"&lt;"&amp;$S18/365,Dataset!J:J,"&gt;="&amp;$R18/365)</f>
        <v>0</v>
      </c>
      <c r="AC18" s="138">
        <f>SUMIFS(Dataset!AJ:AJ,Dataset!F:F,'renta fija'!$D$11,Dataset!AH:AH,"&lt;&gt;letra hipotecaria",Dataset!AH:AH,"&lt;&gt;bono corporativo",Dataset!AH:AH,"&lt;&gt;deposito",Dataset!AH:AH,"&lt;&gt;bono de gobierno",Dataset!J:J,"&lt;"&amp;$S18/365,Dataset!J:J,"&gt;="&amp;$R18/365)</f>
        <v>0</v>
      </c>
      <c r="AD18" s="142">
        <f t="shared" si="0"/>
        <v>0</v>
      </c>
      <c r="AE18" s="142">
        <f>SUMIFS(Dataset!AQ:AQ,Dataset!F:F,'renta fija'!$D$11,Dataset!J:J,"&lt;"&amp;$S18/365,Dataset!J:J,"&gt;="&amp;$R18/365)</f>
        <v>0</v>
      </c>
      <c r="AF18" s="143">
        <f>IFERROR(SUMIFS(Dataset!AQ:AQ,Dataset!F:F,'renta fija'!$D$11,Dataset!J:J,"&lt;"&amp;$S18/365,Dataset!J:J,"&gt;="&amp;$R18/365)/AD18,0)</f>
        <v>0</v>
      </c>
    </row>
    <row r="19" spans="3:32" ht="62.25" customHeight="1" x14ac:dyDescent="0.8">
      <c r="C19" s="131" t="s">
        <v>113</v>
      </c>
      <c r="D19" s="132">
        <f>SUMIFS(Dataset!AK:AK,Dataset!F:F,'renta fija'!D11,Dataset!AH:AH,"deposito", Dataset!T:T,"us$")</f>
        <v>0</v>
      </c>
      <c r="E19" s="133">
        <f>SUMIFS(Dataset!V:V,Dataset!F:F,'renta fija'!D11,Dataset!AH:AH,"deposito", Dataset!T:T,"us$")/1000000</f>
        <v>0</v>
      </c>
      <c r="F19" s="134">
        <f>SUMIFS(Dataset!H:H,Dataset!F:F,'renta fija'!D11,Dataset!AH:AH,"deposito", Dataset!T:T,"us$")*365</f>
        <v>0</v>
      </c>
      <c r="G19" s="132">
        <f>SUMIFS(Dataset!AQ:AQ,Dataset!F:F,'renta fija'!D11,Dataset!AH:AH,"deposito", Dataset!T:T,"us$")</f>
        <v>0</v>
      </c>
      <c r="H19" s="132">
        <f>SUMIFS(Dataset!I:I,Dataset!F:F,'renta fija'!D11,Dataset!AH:AH,"deposito", Dataset!T:T,"us$")</f>
        <v>0</v>
      </c>
      <c r="I19" s="132">
        <f>SUMIFS(Dataset!AA:AA,Dataset!F:F,'renta fija'!D11,Dataset!AH:AH,"deposito", Dataset!T:T,"us$")</f>
        <v>0</v>
      </c>
      <c r="K19" s="135">
        <v>3</v>
      </c>
      <c r="L19" s="132" t="str">
        <f>IFERROR(INDEX(Dataset!X:X,MATCH(_xlfn.AGGREGATE(14,6,Dataset!I:I/(Dataset!F:F=$D$11),K19),Dataset!I:I,0),1),"-")</f>
        <v>-</v>
      </c>
      <c r="M19" s="132" t="str">
        <f>IFERROR(INDEX(Dataset!AK:AK,MATCH(_xlfn.AGGREGATE(14,6,Dataset!I:I/(Dataset!F:F=$D$11),K19),Dataset!I:I,0),1),"-")</f>
        <v>-</v>
      </c>
      <c r="N19" s="132" t="str">
        <f>IFERROR(INDEX(Dataset!I:I,MATCH(_xlfn.AGGREGATE(14,6,Dataset!I:I/(Dataset!F:F=$D$11),K19),Dataset!I:I,0),1),"-")</f>
        <v>-</v>
      </c>
      <c r="O19" s="132" t="str">
        <f>IFERROR(INDEX(Dataset!AA:AA,MATCH(_xlfn.AGGREGATE(14,6,Dataset!I:I/(Dataset!F:F=$D$11),K19),Dataset!I:I,0),1),"-")</f>
        <v>-</v>
      </c>
      <c r="P19" s="134" t="str">
        <f>IFERROR(INDEX(Dataset!J:J,MATCH(_xlfn.AGGREGATE(14,6,Dataset!I:I/(Dataset!F:F=$D$11),K19),Dataset!I:I,0),1),"-")</f>
        <v>-</v>
      </c>
      <c r="R19" s="135">
        <v>30</v>
      </c>
      <c r="S19" s="141">
        <v>45</v>
      </c>
      <c r="T19" s="138">
        <f>SUMIFS(Dataset!AJ:AJ,Dataset!F:F,'renta fija'!$D$11,Dataset!AH:AH,"deposito",Dataset!T:T,"$",Dataset!J:J,"&lt;"&amp;$S19/365,Dataset!J:J,"&gt;="&amp;$R19/365)</f>
        <v>0</v>
      </c>
      <c r="U19" s="138">
        <f>SUMIFS(Dataset!AJ:AJ,Dataset!F:F,'renta fija'!$D$11,Dataset!AH:AH,"deposito",Dataset!T:T,"uf",Dataset!J:J,"&lt;"&amp;$S19/365,Dataset!J:J,"&gt;="&amp;$R19/365)</f>
        <v>0</v>
      </c>
      <c r="V19" s="138">
        <f>SUMIFS(Dataset!AJ:AJ,Dataset!F:F,'renta fija'!$D$11,Dataset!AH:AH,"deposito",Dataset!T:T,"us$",Dataset!J:J,"&lt;"&amp;$S19/365,Dataset!J:J,"&gt;="&amp;$R19/365)</f>
        <v>0</v>
      </c>
      <c r="W19" s="138">
        <f>SUMIFS(Dataset!AJ:AJ,Dataset!F:F,'renta fija'!$D$11,Dataset!AH:AH,"bono de gobierno",Dataset!T:T,"$",Dataset!J:J,"&lt;"&amp;$S19/365,Dataset!J:J,"&gt;="&amp;$R19/365)</f>
        <v>0</v>
      </c>
      <c r="X19" s="138">
        <f>SUMIFS(Dataset!AJ:AJ,Dataset!F:F,'renta fija'!$D$11,Dataset!AH:AH,"bono de gobierno",Dataset!T:T,"UF",Dataset!J:J,"&lt;"&amp;$S19/365,Dataset!J:J,"&gt;="&amp;$R19/365)</f>
        <v>0</v>
      </c>
      <c r="Y19" s="138">
        <f>SUMIFS(Dataset!AJ:AJ,Dataset!F:F,'renta fija'!$D$11,Dataset!AH:AH,"bono de gobierno",Dataset!T:T,"US$",Dataset!J:J,"&lt;"&amp;$S19/365,Dataset!J:J,"&gt;="&amp;$R19/365)</f>
        <v>0</v>
      </c>
      <c r="Z19" s="138">
        <f>SUMIFS(Dataset!AJ:AJ,Dataset!F:F,'renta fija'!$D$11,Dataset!AH:AH,"bono corporativo",Dataset!T:T,"$",Dataset!J:J,"&lt;"&amp;$S19/365,Dataset!J:J,"&gt;="&amp;$R19/365)</f>
        <v>0</v>
      </c>
      <c r="AA19" s="138">
        <f>SUMIFS(Dataset!AJ:AJ,Dataset!F:F,'renta fija'!$D$11,Dataset!AH:AH,"bono corporativo",Dataset!T:T,"UF",Dataset!J:J,"&lt;"&amp;$S19/365,Dataset!J:J,"&gt;="&amp;$R19/365)</f>
        <v>0</v>
      </c>
      <c r="AB19" s="138">
        <f>SUMIFS(Dataset!AJ:AJ,Dataset!F:F,'renta fija'!$D$11,Dataset!AH:AH,"bono corporativo",Dataset!T:T,"US$",Dataset!J:J,"&lt;"&amp;$S19/365,Dataset!J:J,"&gt;="&amp;$R19/365)</f>
        <v>0</v>
      </c>
      <c r="AC19" s="138">
        <f>SUMIFS(Dataset!AJ:AJ,Dataset!F:F,'renta fija'!$D$11,Dataset!AH:AH,"&lt;&gt;letra hipotecaria",Dataset!AH:AH,"&lt;&gt;bono corporativo",Dataset!AH:AH,"&lt;&gt;deposito",Dataset!AH:AH,"&lt;&gt;bono de gobierno",Dataset!J:J,"&lt;"&amp;$S19/365,Dataset!J:J,"&gt;="&amp;$R19/365)</f>
        <v>0</v>
      </c>
      <c r="AD19" s="142">
        <f t="shared" si="0"/>
        <v>0</v>
      </c>
      <c r="AE19" s="142">
        <f>SUMIFS(Dataset!AQ:AQ,Dataset!F:F,'renta fija'!$D$11,Dataset!J:J,"&lt;"&amp;$S19/365,Dataset!J:J,"&gt;="&amp;$R19/365)</f>
        <v>0</v>
      </c>
      <c r="AF19" s="143">
        <f>IFERROR(SUMIFS(Dataset!AQ:AQ,Dataset!F:F,'renta fija'!$D$11,Dataset!J:J,"&lt;"&amp;$S19/365,Dataset!J:J,"&gt;="&amp;$R19/365)/AD19,0)</f>
        <v>0</v>
      </c>
    </row>
    <row r="20" spans="3:32" ht="62.25" customHeight="1" x14ac:dyDescent="0.8">
      <c r="C20" s="131" t="s">
        <v>92</v>
      </c>
      <c r="D20" s="132">
        <f>SUMIFS(Dataset!AK:AK,Dataset!F:F,'renta fija'!D11,Dataset!AH:AH,"bono de gobierno", Dataset!T:T,"$")</f>
        <v>0</v>
      </c>
      <c r="E20" s="133">
        <f>SUMIFS(Dataset!V:V,Dataset!F:F,'renta fija'!D11,Dataset!AH:AH,"bono de gobierno", Dataset!T:T,"$")/1000000</f>
        <v>0</v>
      </c>
      <c r="F20" s="134">
        <f>SUMIFS(Dataset!H:H,Dataset!F:F,'renta fija'!D11,Dataset!AH:AH,"bono de gobierno", Dataset!T:T,"$")*365</f>
        <v>0</v>
      </c>
      <c r="G20" s="132">
        <f>SUMIFS(Dataset!AQ:AQ,Dataset!F:F,'renta fija'!D11,Dataset!AH:AH,"bono de gobierno", Dataset!T:T,"$")</f>
        <v>0</v>
      </c>
      <c r="H20" s="132">
        <f>SUMIFS(Dataset!I:I,Dataset!F:F,'renta fija'!D11,Dataset!AH:AH,"bono de gobierno", Dataset!T:T,"$")</f>
        <v>0</v>
      </c>
      <c r="I20" s="132">
        <f>SUMIFS(Dataset!AA:AA,Dataset!F:F,'renta fija'!D11,Dataset!AH:AH,"bono de gobierno", Dataset!T:T,"$")</f>
        <v>0</v>
      </c>
      <c r="K20" s="135">
        <v>4</v>
      </c>
      <c r="L20" s="132" t="str">
        <f>IFERROR(INDEX(Dataset!X:X,MATCH(_xlfn.AGGREGATE(14,6,Dataset!I:I/(Dataset!F:F=$D$11),K20),Dataset!I:I,0),1),"-")</f>
        <v>-</v>
      </c>
      <c r="M20" s="132" t="str">
        <f>IFERROR(INDEX(Dataset!AK:AK,MATCH(_xlfn.AGGREGATE(14,6,Dataset!I:I/(Dataset!F:F=$D$11),K20),Dataset!I:I,0),1),"-")</f>
        <v>-</v>
      </c>
      <c r="N20" s="132" t="str">
        <f>IFERROR(INDEX(Dataset!I:I,MATCH(_xlfn.AGGREGATE(14,6,Dataset!I:I/(Dataset!F:F=$D$11),K20),Dataset!I:I,0),1),"-")</f>
        <v>-</v>
      </c>
      <c r="O20" s="132" t="str">
        <f>IFERROR(INDEX(Dataset!AA:AA,MATCH(_xlfn.AGGREGATE(14,6,Dataset!I:I/(Dataset!F:F=$D$11),K20),Dataset!I:I,0),1),"-")</f>
        <v>-</v>
      </c>
      <c r="P20" s="134" t="str">
        <f>IFERROR(INDEX(Dataset!J:J,MATCH(_xlfn.AGGREGATE(14,6,Dataset!I:I/(Dataset!F:F=$D$11),K20),Dataset!I:I,0),1),"-")</f>
        <v>-</v>
      </c>
      <c r="R20" s="135">
        <v>45</v>
      </c>
      <c r="S20" s="141">
        <v>60</v>
      </c>
      <c r="T20" s="138">
        <f>SUMIFS(Dataset!AJ:AJ,Dataset!F:F,'renta fija'!$D$11,Dataset!AH:AH,"deposito",Dataset!T:T,"$",Dataset!J:J,"&lt;"&amp;$S20/365,Dataset!J:J,"&gt;="&amp;$R20/365)</f>
        <v>0</v>
      </c>
      <c r="U20" s="138">
        <f>SUMIFS(Dataset!AJ:AJ,Dataset!F:F,'renta fija'!$D$11,Dataset!AH:AH,"deposito",Dataset!T:T,"uf",Dataset!J:J,"&lt;"&amp;$S20/365,Dataset!J:J,"&gt;="&amp;$R20/365)</f>
        <v>0</v>
      </c>
      <c r="V20" s="138">
        <f>SUMIFS(Dataset!AJ:AJ,Dataset!F:F,'renta fija'!$D$11,Dataset!AH:AH,"deposito",Dataset!T:T,"us$",Dataset!J:J,"&lt;"&amp;$S20/365,Dataset!J:J,"&gt;="&amp;$R20/365)</f>
        <v>0</v>
      </c>
      <c r="W20" s="138">
        <f>SUMIFS(Dataset!AJ:AJ,Dataset!F:F,'renta fija'!$D$11,Dataset!AH:AH,"bono de gobierno",Dataset!T:T,"$",Dataset!J:J,"&lt;"&amp;$S20/365,Dataset!J:J,"&gt;="&amp;$R20/365)</f>
        <v>0</v>
      </c>
      <c r="X20" s="138">
        <f>SUMIFS(Dataset!AJ:AJ,Dataset!F:F,'renta fija'!$D$11,Dataset!AH:AH,"bono de gobierno",Dataset!T:T,"UF",Dataset!J:J,"&lt;"&amp;$S20/365,Dataset!J:J,"&gt;="&amp;$R20/365)</f>
        <v>0</v>
      </c>
      <c r="Y20" s="138">
        <f>SUMIFS(Dataset!AJ:AJ,Dataset!F:F,'renta fija'!$D$11,Dataset!AH:AH,"bono de gobierno",Dataset!T:T,"US$",Dataset!J:J,"&lt;"&amp;$S20/365,Dataset!J:J,"&gt;="&amp;$R20/365)</f>
        <v>0</v>
      </c>
      <c r="Z20" s="138">
        <f>SUMIFS(Dataset!AJ:AJ,Dataset!F:F,'renta fija'!$D$11,Dataset!AH:AH,"bono corporativo",Dataset!T:T,"$",Dataset!J:J,"&lt;"&amp;$S20/365,Dataset!J:J,"&gt;="&amp;$R20/365)</f>
        <v>0</v>
      </c>
      <c r="AA20" s="138">
        <f>SUMIFS(Dataset!AJ:AJ,Dataset!F:F,'renta fija'!$D$11,Dataset!AH:AH,"bono corporativo",Dataset!T:T,"UF",Dataset!J:J,"&lt;"&amp;$S20/365,Dataset!J:J,"&gt;="&amp;$R20/365)</f>
        <v>0</v>
      </c>
      <c r="AB20" s="138">
        <f>SUMIFS(Dataset!AJ:AJ,Dataset!F:F,'renta fija'!$D$11,Dataset!AH:AH,"bono corporativo",Dataset!T:T,"US$",Dataset!J:J,"&lt;"&amp;$S20/365,Dataset!J:J,"&gt;="&amp;$R20/365)</f>
        <v>0</v>
      </c>
      <c r="AC20" s="138">
        <f>SUMIFS(Dataset!AJ:AJ,Dataset!F:F,'renta fija'!$D$11,Dataset!AH:AH,"&lt;&gt;letra hipotecaria",Dataset!AH:AH,"&lt;&gt;bono corporativo",Dataset!AH:AH,"&lt;&gt;deposito",Dataset!AH:AH,"&lt;&gt;bono de gobierno",Dataset!J:J,"&lt;"&amp;$S20/365,Dataset!J:J,"&gt;="&amp;$R20/365)</f>
        <v>0</v>
      </c>
      <c r="AD20" s="142">
        <f t="shared" si="0"/>
        <v>0</v>
      </c>
      <c r="AE20" s="142">
        <f>SUMIFS(Dataset!AQ:AQ,Dataset!F:F,'renta fija'!$D$11,Dataset!J:J,"&lt;"&amp;$S20/365,Dataset!J:J,"&gt;="&amp;$R20/365)</f>
        <v>0</v>
      </c>
      <c r="AF20" s="143">
        <f>IFERROR(SUMIFS(Dataset!AQ:AQ,Dataset!F:F,'renta fija'!$D$11,Dataset!J:J,"&lt;"&amp;$S20/365,Dataset!J:J,"&gt;="&amp;$R20/365)/AD20,0)</f>
        <v>0</v>
      </c>
    </row>
    <row r="21" spans="3:32" ht="62.25" customHeight="1" x14ac:dyDescent="0.8">
      <c r="C21" s="131" t="s">
        <v>63</v>
      </c>
      <c r="D21" s="132">
        <f>SUMIFS(Dataset!AK:AK,Dataset!F:F,'renta fija'!D11,Dataset!AH:AH,"bono de gobierno", Dataset!T:T,"uf")</f>
        <v>0</v>
      </c>
      <c r="E21" s="133">
        <f>SUMIFS(Dataset!V:V,Dataset!F:F,'renta fija'!D11,Dataset!AH:AH,"bono de gobierno", Dataset!T:T,"uf")/1000000</f>
        <v>0</v>
      </c>
      <c r="F21" s="134">
        <f>SUMIFS(Dataset!H:H,Dataset!F:F,'renta fija'!D11,Dataset!AH:AH,"bono de gobierno", Dataset!T:T,"uf")*365</f>
        <v>0</v>
      </c>
      <c r="G21" s="132">
        <f>SUMIFS(Dataset!AQ:AQ,Dataset!F:F,'renta fija'!D11,Dataset!AH:AH,"bono de gobierno", Dataset!T:T,"uf")</f>
        <v>0</v>
      </c>
      <c r="H21" s="132">
        <f>SUMIFS(Dataset!I:I,Dataset!F:F,'renta fija'!D11,Dataset!AH:AH,"bono de gobierno", Dataset!T:T,"uf")</f>
        <v>0</v>
      </c>
      <c r="I21" s="132">
        <f>SUMIFS(Dataset!AA:AA,Dataset!F:F,'renta fija'!D11,Dataset!AH:AH,"bono de gobierno", Dataset!T:T,"uf")</f>
        <v>0</v>
      </c>
      <c r="K21" s="135">
        <v>5</v>
      </c>
      <c r="L21" s="132" t="str">
        <f>IFERROR(INDEX(Dataset!X:X,MATCH(_xlfn.AGGREGATE(14,6,Dataset!I:I/(Dataset!F:F=$D$11),K21),Dataset!I:I,0),1),"-")</f>
        <v>-</v>
      </c>
      <c r="M21" s="132" t="str">
        <f>IFERROR(INDEX(Dataset!AK:AK,MATCH(_xlfn.AGGREGATE(14,6,Dataset!I:I/(Dataset!F:F=$D$11),K21),Dataset!I:I,0),1),"-")</f>
        <v>-</v>
      </c>
      <c r="N21" s="132" t="str">
        <f>IFERROR(INDEX(Dataset!I:I,MATCH(_xlfn.AGGREGATE(14,6,Dataset!I:I/(Dataset!F:F=$D$11),K21),Dataset!I:I,0),1),"-")</f>
        <v>-</v>
      </c>
      <c r="O21" s="132" t="str">
        <f>IFERROR(INDEX(Dataset!AA:AA,MATCH(_xlfn.AGGREGATE(14,6,Dataset!I:I/(Dataset!F:F=$D$11),K21),Dataset!I:I,0),1),"-")</f>
        <v>-</v>
      </c>
      <c r="P21" s="134" t="str">
        <f>IFERROR(INDEX(Dataset!J:J,MATCH(_xlfn.AGGREGATE(14,6,Dataset!I:I/(Dataset!F:F=$D$11),K21),Dataset!I:I,0),1),"-")</f>
        <v>-</v>
      </c>
      <c r="R21" s="135">
        <v>60</v>
      </c>
      <c r="S21" s="141">
        <v>75</v>
      </c>
      <c r="T21" s="138">
        <f>SUMIFS(Dataset!AJ:AJ,Dataset!F:F,'renta fija'!$D$11,Dataset!AH:AH,"deposito",Dataset!T:T,"$",Dataset!J:J,"&lt;"&amp;$S21/365,Dataset!J:J,"&gt;="&amp;$R21/365)</f>
        <v>0</v>
      </c>
      <c r="U21" s="138">
        <f>SUMIFS(Dataset!AJ:AJ,Dataset!F:F,'renta fija'!$D$11,Dataset!AH:AH,"deposito",Dataset!T:T,"uf",Dataset!J:J,"&lt;"&amp;$S21/365,Dataset!J:J,"&gt;="&amp;$R21/365)</f>
        <v>0</v>
      </c>
      <c r="V21" s="138">
        <f>SUMIFS(Dataset!AJ:AJ,Dataset!F:F,'renta fija'!$D$11,Dataset!AH:AH,"deposito",Dataset!T:T,"us$",Dataset!J:J,"&lt;"&amp;$S21/365,Dataset!J:J,"&gt;="&amp;$R21/365)</f>
        <v>0</v>
      </c>
      <c r="W21" s="138">
        <f>SUMIFS(Dataset!AJ:AJ,Dataset!F:F,'renta fija'!$D$11,Dataset!AH:AH,"bono de gobierno",Dataset!T:T,"$",Dataset!J:J,"&lt;"&amp;$S21/365,Dataset!J:J,"&gt;="&amp;$R21/365)</f>
        <v>0</v>
      </c>
      <c r="X21" s="138">
        <f>SUMIFS(Dataset!AJ:AJ,Dataset!F:F,'renta fija'!$D$11,Dataset!AH:AH,"bono de gobierno",Dataset!T:T,"UF",Dataset!J:J,"&lt;"&amp;$S21/365,Dataset!J:J,"&gt;="&amp;$R21/365)</f>
        <v>0</v>
      </c>
      <c r="Y21" s="138">
        <f>SUMIFS(Dataset!AJ:AJ,Dataset!F:F,'renta fija'!$D$11,Dataset!AH:AH,"bono de gobierno",Dataset!T:T,"US$",Dataset!J:J,"&lt;"&amp;$S21/365,Dataset!J:J,"&gt;="&amp;$R21/365)</f>
        <v>0</v>
      </c>
      <c r="Z21" s="138">
        <f>SUMIFS(Dataset!AJ:AJ,Dataset!F:F,'renta fija'!$D$11,Dataset!AH:AH,"bono corporativo",Dataset!T:T,"$",Dataset!J:J,"&lt;"&amp;$S21/365,Dataset!J:J,"&gt;="&amp;$R21/365)</f>
        <v>0</v>
      </c>
      <c r="AA21" s="138">
        <f>SUMIFS(Dataset!AJ:AJ,Dataset!F:F,'renta fija'!$D$11,Dataset!AH:AH,"bono corporativo",Dataset!T:T,"UF",Dataset!J:J,"&lt;"&amp;$S21/365,Dataset!J:J,"&gt;="&amp;$R21/365)</f>
        <v>0</v>
      </c>
      <c r="AB21" s="138">
        <f>SUMIFS(Dataset!AJ:AJ,Dataset!F:F,'renta fija'!$D$11,Dataset!AH:AH,"bono corporativo",Dataset!T:T,"US$",Dataset!J:J,"&lt;"&amp;$S21/365,Dataset!J:J,"&gt;="&amp;$R21/365)</f>
        <v>0</v>
      </c>
      <c r="AC21" s="138">
        <f>SUMIFS(Dataset!AJ:AJ,Dataset!F:F,'renta fija'!$D$11,Dataset!AH:AH,"&lt;&gt;letra hipotecaria",Dataset!AH:AH,"&lt;&gt;bono corporativo",Dataset!AH:AH,"&lt;&gt;deposito",Dataset!AH:AH,"&lt;&gt;bono de gobierno",Dataset!J:J,"&lt;"&amp;$S21/365,Dataset!J:J,"&gt;="&amp;$R21/365)</f>
        <v>0</v>
      </c>
      <c r="AD21" s="142">
        <f t="shared" si="0"/>
        <v>0</v>
      </c>
      <c r="AE21" s="142">
        <f>SUMIFS(Dataset!AQ:AQ,Dataset!F:F,'renta fija'!$D$11,Dataset!J:J,"&lt;"&amp;$S21/365,Dataset!J:J,"&gt;="&amp;$R21/365)</f>
        <v>0</v>
      </c>
      <c r="AF21" s="143">
        <f>IFERROR(SUMIFS(Dataset!AQ:AQ,Dataset!F:F,'renta fija'!$D$11,Dataset!J:J,"&lt;"&amp;$S21/365,Dataset!J:J,"&gt;="&amp;$R21/365)/AD21,0)</f>
        <v>0</v>
      </c>
    </row>
    <row r="22" spans="3:32" ht="62.25" customHeight="1" x14ac:dyDescent="0.8">
      <c r="C22" s="131" t="s">
        <v>114</v>
      </c>
      <c r="D22" s="132">
        <f>SUMIFS(Dataset!AK:AK,Dataset!F:F,'renta fija'!D11,Dataset!AH:AH,"bono de gobierno", Dataset!T:T,"us$")</f>
        <v>0</v>
      </c>
      <c r="E22" s="133">
        <f>SUMIFS(Dataset!V:V,Dataset!F:F,'renta fija'!D11,Dataset!AH:AH,"bono de gobierno", Dataset!T:T,"us$")/1000000</f>
        <v>0</v>
      </c>
      <c r="F22" s="134">
        <f>SUMIFS(Dataset!H:H,Dataset!F:F,'renta fija'!D11,Dataset!AH:AH,"bono de gobierno", Dataset!T:T,"us$")*365</f>
        <v>0</v>
      </c>
      <c r="G22" s="132">
        <f>SUMIFS(Dataset!AQ:AQ,Dataset!F:F,'renta fija'!D11,Dataset!AH:AH,"bono de gobierno", Dataset!T:T,"us$")</f>
        <v>0</v>
      </c>
      <c r="H22" s="132">
        <f>SUMIFS(Dataset!I:I,Dataset!F:F,'renta fija'!D11,Dataset!AH:AH,"bono de gobierno", Dataset!T:T,"us$")</f>
        <v>0</v>
      </c>
      <c r="I22" s="132">
        <f>SUMIFS(Dataset!AA:AA,Dataset!F:F,'renta fija'!D11,Dataset!AH:AH,"bono de gobierno", Dataset!T:T,"us$")</f>
        <v>0</v>
      </c>
      <c r="K22" s="135">
        <v>6</v>
      </c>
      <c r="L22" s="132" t="str">
        <f>IFERROR(INDEX(Dataset!X:X,MATCH(_xlfn.AGGREGATE(14,6,Dataset!I:I/(Dataset!F:F=$D$11),K22),Dataset!I:I,0),1),"-")</f>
        <v>-</v>
      </c>
      <c r="M22" s="132" t="str">
        <f>IFERROR(INDEX(Dataset!AK:AK,MATCH(_xlfn.AGGREGATE(14,6,Dataset!I:I/(Dataset!F:F=$D$11),K22),Dataset!I:I,0),1),"-")</f>
        <v>-</v>
      </c>
      <c r="N22" s="132" t="str">
        <f>IFERROR(INDEX(Dataset!I:I,MATCH(_xlfn.AGGREGATE(14,6,Dataset!I:I/(Dataset!F:F=$D$11),K22),Dataset!I:I,0),1),"-")</f>
        <v>-</v>
      </c>
      <c r="O22" s="132" t="str">
        <f>IFERROR(INDEX(Dataset!AA:AA,MATCH(_xlfn.AGGREGATE(14,6,Dataset!I:I/(Dataset!F:F=$D$11),K22),Dataset!I:I,0),1),"-")</f>
        <v>-</v>
      </c>
      <c r="P22" s="134" t="str">
        <f>IFERROR(INDEX(Dataset!J:J,MATCH(_xlfn.AGGREGATE(14,6,Dataset!I:I/(Dataset!F:F=$D$11),K22),Dataset!I:I,0),1),"-")</f>
        <v>-</v>
      </c>
      <c r="R22" s="135">
        <v>75</v>
      </c>
      <c r="S22" s="141">
        <v>90</v>
      </c>
      <c r="T22" s="138">
        <f>SUMIFS(Dataset!AJ:AJ,Dataset!F:F,'renta fija'!$D$11,Dataset!AH:AH,"deposito",Dataset!T:T,"$",Dataset!J:J,"&lt;"&amp;$S22/365,Dataset!J:J,"&gt;="&amp;$R22/365)</f>
        <v>0</v>
      </c>
      <c r="U22" s="138">
        <f>SUMIFS(Dataset!AJ:AJ,Dataset!F:F,'renta fija'!$D$11,Dataset!AH:AH,"deposito",Dataset!T:T,"uf",Dataset!J:J,"&lt;"&amp;$S22/365,Dataset!J:J,"&gt;="&amp;$R22/365)</f>
        <v>0</v>
      </c>
      <c r="V22" s="138">
        <f>SUMIFS(Dataset!AJ:AJ,Dataset!F:F,'renta fija'!$D$11,Dataset!AH:AH,"deposito",Dataset!T:T,"us$",Dataset!J:J,"&lt;"&amp;$S22/365,Dataset!J:J,"&gt;="&amp;$R22/365)</f>
        <v>0</v>
      </c>
      <c r="W22" s="138">
        <f>SUMIFS(Dataset!AJ:AJ,Dataset!F:F,'renta fija'!$D$11,Dataset!AH:AH,"bono de gobierno",Dataset!T:T,"$",Dataset!J:J,"&lt;"&amp;$S22/365,Dataset!J:J,"&gt;="&amp;$R22/365)</f>
        <v>0</v>
      </c>
      <c r="X22" s="138">
        <f>SUMIFS(Dataset!AJ:AJ,Dataset!F:F,'renta fija'!$D$11,Dataset!AH:AH,"bono de gobierno",Dataset!T:T,"UF",Dataset!J:J,"&lt;"&amp;$S22/365,Dataset!J:J,"&gt;="&amp;$R22/365)</f>
        <v>0</v>
      </c>
      <c r="Y22" s="138">
        <f>SUMIFS(Dataset!AJ:AJ,Dataset!F:F,'renta fija'!$D$11,Dataset!AH:AH,"bono de gobierno",Dataset!T:T,"US$",Dataset!J:J,"&lt;"&amp;$S22/365,Dataset!J:J,"&gt;="&amp;$R22/365)</f>
        <v>0</v>
      </c>
      <c r="Z22" s="138">
        <f>SUMIFS(Dataset!AJ:AJ,Dataset!F:F,'renta fija'!$D$11,Dataset!AH:AH,"bono corporativo",Dataset!T:T,"$",Dataset!J:J,"&lt;"&amp;$S22/365,Dataset!J:J,"&gt;="&amp;$R22/365)</f>
        <v>0</v>
      </c>
      <c r="AA22" s="138">
        <f>SUMIFS(Dataset!AJ:AJ,Dataset!F:F,'renta fija'!$D$11,Dataset!AH:AH,"bono corporativo",Dataset!T:T,"UF",Dataset!J:J,"&lt;"&amp;$S22/365,Dataset!J:J,"&gt;="&amp;$R22/365)</f>
        <v>0</v>
      </c>
      <c r="AB22" s="138">
        <f>SUMIFS(Dataset!AJ:AJ,Dataset!F:F,'renta fija'!$D$11,Dataset!AH:AH,"bono corporativo",Dataset!T:T,"US$",Dataset!J:J,"&lt;"&amp;$S22/365,Dataset!J:J,"&gt;="&amp;$R22/365)</f>
        <v>0</v>
      </c>
      <c r="AC22" s="138">
        <f>SUMIFS(Dataset!AJ:AJ,Dataset!F:F,'renta fija'!$D$11,Dataset!AH:AH,"&lt;&gt;letra hipotecaria",Dataset!AH:AH,"&lt;&gt;bono corporativo",Dataset!AH:AH,"&lt;&gt;deposito",Dataset!AH:AH,"&lt;&gt;bono de gobierno",Dataset!J:J,"&lt;"&amp;$S22/365,Dataset!J:J,"&gt;="&amp;$R22/365)</f>
        <v>0</v>
      </c>
      <c r="AD22" s="142">
        <f t="shared" si="0"/>
        <v>0</v>
      </c>
      <c r="AE22" s="142">
        <f>SUMIFS(Dataset!AQ:AQ,Dataset!F:F,'renta fija'!$D$11,Dataset!J:J,"&lt;"&amp;$S22/365,Dataset!J:J,"&gt;="&amp;$R22/365)</f>
        <v>0</v>
      </c>
      <c r="AF22" s="143">
        <f>IFERROR(SUMIFS(Dataset!AQ:AQ,Dataset!F:F,'renta fija'!$D$11,Dataset!J:J,"&lt;"&amp;$S22/365,Dataset!J:J,"&gt;="&amp;$R22/365)/AD22,0)</f>
        <v>0</v>
      </c>
    </row>
    <row r="23" spans="3:32" ht="62.25" customHeight="1" x14ac:dyDescent="0.8">
      <c r="C23" s="131" t="s">
        <v>94</v>
      </c>
      <c r="D23" s="132">
        <f>SUMIFS(Dataset!AK:AK,Dataset!F:F,'renta fija'!D11,Dataset!AH:AH,"bono corporativo", Dataset!T:T,"$")</f>
        <v>0</v>
      </c>
      <c r="E23" s="133">
        <f>SUMIFS(Dataset!V:V,Dataset!F:F,'renta fija'!D11,Dataset!AH:AH,"bono corporativo", Dataset!T:T,"$")/1000000</f>
        <v>0</v>
      </c>
      <c r="F23" s="134">
        <f>SUMIFS(Dataset!H:H,Dataset!F:F,'renta fija'!D11,Dataset!AH:AH,"bono corporativo", Dataset!T:T,"$")*365</f>
        <v>0</v>
      </c>
      <c r="G23" s="132">
        <f>SUMIFS(Dataset!AQ:AQ,Dataset!F:F,'renta fija'!D11,Dataset!AH:AH,"bono corporativo", Dataset!T:T,"$")</f>
        <v>0</v>
      </c>
      <c r="H23" s="132">
        <f>SUMIFS(Dataset!I:I,Dataset!F:F,'renta fija'!D11,Dataset!AH:AH,"bono corporativo", Dataset!T:T,"$")</f>
        <v>0</v>
      </c>
      <c r="I23" s="132">
        <f>SUMIFS(Dataset!AA:AA,Dataset!F:F,'renta fija'!D11,Dataset!AH:AH,"bono corporativo", Dataset!T:T,"$")</f>
        <v>0</v>
      </c>
      <c r="K23" s="135">
        <v>7</v>
      </c>
      <c r="L23" s="132" t="str">
        <f>IFERROR(INDEX(Dataset!X:X,MATCH(_xlfn.AGGREGATE(14,6,Dataset!I:I/(Dataset!F:F=$D$11),K23),Dataset!I:I,0),1),"-")</f>
        <v>-</v>
      </c>
      <c r="M23" s="132" t="str">
        <f>IFERROR(INDEX(Dataset!AK:AK,MATCH(_xlfn.AGGREGATE(14,6,Dataset!I:I/(Dataset!F:F=$D$11),K23),Dataset!I:I,0),1),"-")</f>
        <v>-</v>
      </c>
      <c r="N23" s="132" t="str">
        <f>IFERROR(INDEX(Dataset!I:I,MATCH(_xlfn.AGGREGATE(14,6,Dataset!I:I/(Dataset!F:F=$D$11),K23),Dataset!I:I,0),1),"-")</f>
        <v>-</v>
      </c>
      <c r="O23" s="132" t="str">
        <f>IFERROR(INDEX(Dataset!AA:AA,MATCH(_xlfn.AGGREGATE(14,6,Dataset!I:I/(Dataset!F:F=$D$11),K23),Dataset!I:I,0),1),"-")</f>
        <v>-</v>
      </c>
      <c r="P23" s="134" t="str">
        <f>IFERROR(INDEX(Dataset!J:J,MATCH(_xlfn.AGGREGATE(14,6,Dataset!I:I/(Dataset!F:F=$D$11),K23),Dataset!I:I,0),1),"-")</f>
        <v>-</v>
      </c>
      <c r="R23" s="135">
        <v>90</v>
      </c>
      <c r="S23" s="141">
        <v>105</v>
      </c>
      <c r="T23" s="138">
        <f>SUMIFS(Dataset!AJ:AJ,Dataset!F:F,'renta fija'!$D$11,Dataset!AH:AH,"deposito",Dataset!T:T,"$",Dataset!J:J,"&lt;"&amp;$S23/365,Dataset!J:J,"&gt;="&amp;$R23/365)</f>
        <v>0</v>
      </c>
      <c r="U23" s="138">
        <f>SUMIFS(Dataset!AJ:AJ,Dataset!F:F,'renta fija'!$D$11,Dataset!AH:AH,"deposito",Dataset!T:T,"uf",Dataset!J:J,"&lt;"&amp;$S23/365,Dataset!J:J,"&gt;="&amp;$R23/365)</f>
        <v>0</v>
      </c>
      <c r="V23" s="138">
        <f>SUMIFS(Dataset!AJ:AJ,Dataset!F:F,'renta fija'!$D$11,Dataset!AH:AH,"deposito",Dataset!T:T,"us$",Dataset!J:J,"&lt;"&amp;$S23/365,Dataset!J:J,"&gt;="&amp;$R23/365)</f>
        <v>0</v>
      </c>
      <c r="W23" s="138">
        <f>SUMIFS(Dataset!AJ:AJ,Dataset!F:F,'renta fija'!$D$11,Dataset!AH:AH,"bono de gobierno",Dataset!T:T,"$",Dataset!J:J,"&lt;"&amp;$S23/365,Dataset!J:J,"&gt;="&amp;$R23/365)</f>
        <v>0</v>
      </c>
      <c r="X23" s="138">
        <f>SUMIFS(Dataset!AJ:AJ,Dataset!F:F,'renta fija'!$D$11,Dataset!AH:AH,"bono de gobierno",Dataset!T:T,"UF",Dataset!J:J,"&lt;"&amp;$S23/365,Dataset!J:J,"&gt;="&amp;$R23/365)</f>
        <v>0</v>
      </c>
      <c r="Y23" s="138">
        <f>SUMIFS(Dataset!AJ:AJ,Dataset!F:F,'renta fija'!$D$11,Dataset!AH:AH,"bono de gobierno",Dataset!T:T,"US$",Dataset!J:J,"&lt;"&amp;$S23/365,Dataset!J:J,"&gt;="&amp;$R23/365)</f>
        <v>0</v>
      </c>
      <c r="Z23" s="138">
        <f>SUMIFS(Dataset!AJ:AJ,Dataset!F:F,'renta fija'!$D$11,Dataset!AH:AH,"bono corporativo",Dataset!T:T,"$",Dataset!J:J,"&lt;"&amp;$S23/365,Dataset!J:J,"&gt;="&amp;$R23/365)</f>
        <v>0</v>
      </c>
      <c r="AA23" s="138">
        <f>SUMIFS(Dataset!AJ:AJ,Dataset!F:F,'renta fija'!$D$11,Dataset!AH:AH,"bono corporativo",Dataset!T:T,"UF",Dataset!J:J,"&lt;"&amp;$S23/365,Dataset!J:J,"&gt;="&amp;$R23/365)</f>
        <v>0</v>
      </c>
      <c r="AB23" s="138">
        <f>SUMIFS(Dataset!AJ:AJ,Dataset!F:F,'renta fija'!$D$11,Dataset!AH:AH,"bono corporativo",Dataset!T:T,"US$",Dataset!J:J,"&lt;"&amp;$S23/365,Dataset!J:J,"&gt;="&amp;$R23/365)</f>
        <v>0</v>
      </c>
      <c r="AC23" s="138">
        <f>SUMIFS(Dataset!AJ:AJ,Dataset!F:F,'renta fija'!$D$11,Dataset!AH:AH,"&lt;&gt;letra hipotecaria",Dataset!AH:AH,"&lt;&gt;bono corporativo",Dataset!AH:AH,"&lt;&gt;deposito",Dataset!AH:AH,"&lt;&gt;bono de gobierno",Dataset!J:J,"&lt;"&amp;$S23/365,Dataset!J:J,"&gt;="&amp;$R23/365)</f>
        <v>0</v>
      </c>
      <c r="AD23" s="142">
        <f t="shared" si="0"/>
        <v>0</v>
      </c>
      <c r="AE23" s="142">
        <f>SUMIFS(Dataset!AQ:AQ,Dataset!F:F,'renta fija'!$D$11,Dataset!J:J,"&lt;"&amp;$S23/365,Dataset!J:J,"&gt;="&amp;$R23/365)</f>
        <v>0</v>
      </c>
      <c r="AF23" s="143">
        <f>IFERROR(SUMIFS(Dataset!AQ:AQ,Dataset!F:F,'renta fija'!$D$11,Dataset!J:J,"&lt;"&amp;$S23/365,Dataset!J:J,"&gt;="&amp;$R23/365)/AD23,0)</f>
        <v>0</v>
      </c>
    </row>
    <row r="24" spans="3:32" ht="62.25" customHeight="1" x14ac:dyDescent="0.8">
      <c r="C24" s="131" t="s">
        <v>69</v>
      </c>
      <c r="D24" s="132">
        <f>SUMIFS(Dataset!AK:AK,Dataset!F:F,'renta fija'!D11,Dataset!AH:AH,"bono corporativo", Dataset!T:T,"uf")</f>
        <v>0</v>
      </c>
      <c r="E24" s="133">
        <f>SUMIFS(Dataset!V:V,Dataset!F:F,'renta fija'!D11,Dataset!AH:AH,"bono corporativo", Dataset!T:T,"uf")/1000000</f>
        <v>0</v>
      </c>
      <c r="F24" s="134">
        <f>SUMIFS(Dataset!H:H,Dataset!F:F,'renta fija'!D11,Dataset!AH:AH,"bono corporativo", Dataset!T:T,"uf")*365</f>
        <v>0</v>
      </c>
      <c r="G24" s="132">
        <f>SUMIFS(Dataset!AQ:AQ,Dataset!F:F,'renta fija'!D11,Dataset!AH:AH,"bono corporativo", Dataset!T:T,"uf")</f>
        <v>0</v>
      </c>
      <c r="H24" s="132">
        <f>SUMIFS(Dataset!I:I,Dataset!F:F,'renta fija'!D11,Dataset!AH:AH,"bono corporativo", Dataset!T:T,"uf")</f>
        <v>0</v>
      </c>
      <c r="I24" s="132">
        <f>SUMIFS(Dataset!AA:AA,Dataset!F:F,'renta fija'!D11,Dataset!AH:AH,"bono corporativo", Dataset!T:T,"uf")</f>
        <v>0</v>
      </c>
      <c r="K24" s="135">
        <v>8</v>
      </c>
      <c r="L24" s="132" t="str">
        <f>IFERROR(INDEX(Dataset!X:X,MATCH(_xlfn.AGGREGATE(14,6,Dataset!I:I/(Dataset!F:F=$D$11),K24),Dataset!I:I,0),1),"-")</f>
        <v>-</v>
      </c>
      <c r="M24" s="132" t="str">
        <f>IFERROR(INDEX(Dataset!AK:AK,MATCH(_xlfn.AGGREGATE(14,6,Dataset!I:I/(Dataset!F:F=$D$11),K24),Dataset!I:I,0),1),"-")</f>
        <v>-</v>
      </c>
      <c r="N24" s="132" t="str">
        <f>IFERROR(INDEX(Dataset!I:I,MATCH(_xlfn.AGGREGATE(14,6,Dataset!I:I/(Dataset!F:F=$D$11),K24),Dataset!I:I,0),1),"-")</f>
        <v>-</v>
      </c>
      <c r="O24" s="132" t="str">
        <f>IFERROR(INDEX(Dataset!AA:AA,MATCH(_xlfn.AGGREGATE(14,6,Dataset!I:I/(Dataset!F:F=$D$11),K24),Dataset!I:I,0),1),"-")</f>
        <v>-</v>
      </c>
      <c r="P24" s="134" t="str">
        <f>IFERROR(INDEX(Dataset!J:J,MATCH(_xlfn.AGGREGATE(14,6,Dataset!I:I/(Dataset!F:F=$D$11),K24),Dataset!I:I,0),1),"-")</f>
        <v>-</v>
      </c>
      <c r="R24" s="135">
        <v>105</v>
      </c>
      <c r="S24" s="141">
        <v>120</v>
      </c>
      <c r="T24" s="138">
        <f>SUMIFS(Dataset!AJ:AJ,Dataset!F:F,'renta fija'!$D$11,Dataset!AH:AH,"deposito",Dataset!T:T,"$",Dataset!J:J,"&lt;"&amp;$S24/365,Dataset!J:J,"&gt;="&amp;$R24/365)</f>
        <v>0</v>
      </c>
      <c r="U24" s="138">
        <f>SUMIFS(Dataset!AJ:AJ,Dataset!F:F,'renta fija'!$D$11,Dataset!AH:AH,"deposito",Dataset!T:T,"uf",Dataset!J:J,"&lt;"&amp;$S24/365,Dataset!J:J,"&gt;="&amp;$R24/365)</f>
        <v>0</v>
      </c>
      <c r="V24" s="138">
        <f>SUMIFS(Dataset!AJ:AJ,Dataset!F:F,'renta fija'!$D$11,Dataset!AH:AH,"deposito",Dataset!T:T,"us$",Dataset!J:J,"&lt;"&amp;$S24/365,Dataset!J:J,"&gt;="&amp;$R24/365)</f>
        <v>0</v>
      </c>
      <c r="W24" s="138">
        <f>SUMIFS(Dataset!AJ:AJ,Dataset!F:F,'renta fija'!$D$11,Dataset!AH:AH,"bono de gobierno",Dataset!T:T,"$",Dataset!J:J,"&lt;"&amp;$S24/365,Dataset!J:J,"&gt;="&amp;$R24/365)</f>
        <v>0</v>
      </c>
      <c r="X24" s="138">
        <f>SUMIFS(Dataset!AJ:AJ,Dataset!F:F,'renta fija'!$D$11,Dataset!AH:AH,"bono de gobierno",Dataset!T:T,"UF",Dataset!J:J,"&lt;"&amp;$S24/365,Dataset!J:J,"&gt;="&amp;$R24/365)</f>
        <v>0</v>
      </c>
      <c r="Y24" s="138">
        <f>SUMIFS(Dataset!AJ:AJ,Dataset!F:F,'renta fija'!$D$11,Dataset!AH:AH,"bono de gobierno",Dataset!T:T,"US$",Dataset!J:J,"&lt;"&amp;$S24/365,Dataset!J:J,"&gt;="&amp;$R24/365)</f>
        <v>0</v>
      </c>
      <c r="Z24" s="138">
        <f>SUMIFS(Dataset!AJ:AJ,Dataset!F:F,'renta fija'!$D$11,Dataset!AH:AH,"bono corporativo",Dataset!T:T,"$",Dataset!J:J,"&lt;"&amp;$S24/365,Dataset!J:J,"&gt;="&amp;$R24/365)</f>
        <v>0</v>
      </c>
      <c r="AA24" s="138">
        <f>SUMIFS(Dataset!AJ:AJ,Dataset!F:F,'renta fija'!$D$11,Dataset!AH:AH,"bono corporativo",Dataset!T:T,"UF",Dataset!J:J,"&lt;"&amp;$S24/365,Dataset!J:J,"&gt;="&amp;$R24/365)</f>
        <v>0</v>
      </c>
      <c r="AB24" s="138">
        <f>SUMIFS(Dataset!AJ:AJ,Dataset!F:F,'renta fija'!$D$11,Dataset!AH:AH,"bono corporativo",Dataset!T:T,"US$",Dataset!J:J,"&lt;"&amp;$S24/365,Dataset!J:J,"&gt;="&amp;$R24/365)</f>
        <v>0</v>
      </c>
      <c r="AC24" s="138">
        <f>SUMIFS(Dataset!AJ:AJ,Dataset!F:F,'renta fija'!$D$11,Dataset!AH:AH,"&lt;&gt;letra hipotecaria",Dataset!AH:AH,"&lt;&gt;bono corporativo",Dataset!AH:AH,"&lt;&gt;deposito",Dataset!AH:AH,"&lt;&gt;bono de gobierno",Dataset!J:J,"&lt;"&amp;$S24/365,Dataset!J:J,"&gt;="&amp;$R24/365)</f>
        <v>0</v>
      </c>
      <c r="AD24" s="142">
        <f t="shared" si="0"/>
        <v>0</v>
      </c>
      <c r="AE24" s="142">
        <f>SUMIFS(Dataset!AQ:AQ,Dataset!F:F,'renta fija'!$D$11,Dataset!J:J,"&lt;"&amp;$S24/365,Dataset!J:J,"&gt;="&amp;$R24/365)</f>
        <v>0</v>
      </c>
      <c r="AF24" s="143">
        <f>IFERROR(SUMIFS(Dataset!AQ:AQ,Dataset!F:F,'renta fija'!$D$11,Dataset!J:J,"&lt;"&amp;$S24/365,Dataset!J:J,"&gt;="&amp;$R24/365)/AD24,0)</f>
        <v>0</v>
      </c>
    </row>
    <row r="25" spans="3:32" ht="62.25" customHeight="1" x14ac:dyDescent="0.8">
      <c r="C25" s="131" t="s">
        <v>93</v>
      </c>
      <c r="D25" s="132">
        <f>SUMIFS(Dataset!AK:AK,Dataset!F:F,'renta fija'!D11,Dataset!AH:AH,"bono corporativo", Dataset!T:T,"us$")</f>
        <v>0</v>
      </c>
      <c r="E25" s="133">
        <f>SUMIFS(Dataset!V:V,Dataset!F:F,'renta fija'!D11,Dataset!AH:AH,"bono corporativo", Dataset!T:T,"us$")/1000000</f>
        <v>0</v>
      </c>
      <c r="F25" s="134">
        <f>SUMIFS(Dataset!H:H,Dataset!F:F,'renta fija'!D11,Dataset!AH:AH,"bono corporativo", Dataset!T:T,"us$")*365</f>
        <v>0</v>
      </c>
      <c r="G25" s="132">
        <f>SUMIFS(Dataset!AQ:AQ,Dataset!F:F,'renta fija'!D11,Dataset!AH:AH,"bono corporativo", Dataset!T:T,"us$")</f>
        <v>0</v>
      </c>
      <c r="H25" s="132">
        <f>SUMIFS(Dataset!I:I,Dataset!F:F,'renta fija'!D11,Dataset!AH:AH,"bono corporativo", Dataset!T:T,"us$")</f>
        <v>0</v>
      </c>
      <c r="I25" s="132">
        <f>SUMIFS(Dataset!AA:AA,Dataset!F:F,'renta fija'!D11,Dataset!AH:AH,"bono corporativo", Dataset!T:T,"us$")</f>
        <v>0</v>
      </c>
      <c r="K25" s="135">
        <v>9</v>
      </c>
      <c r="L25" s="132" t="str">
        <f>IFERROR(INDEX(Dataset!X:X,MATCH(_xlfn.AGGREGATE(14,6,Dataset!I:I/(Dataset!F:F=$D$11),K25),Dataset!I:I,0),1),"-")</f>
        <v>-</v>
      </c>
      <c r="M25" s="132" t="str">
        <f>IFERROR(INDEX(Dataset!AK:AK,MATCH(_xlfn.AGGREGATE(14,6,Dataset!I:I/(Dataset!F:F=$D$11),K25),Dataset!I:I,0),1),"-")</f>
        <v>-</v>
      </c>
      <c r="N25" s="132" t="str">
        <f>IFERROR(INDEX(Dataset!I:I,MATCH(_xlfn.AGGREGATE(14,6,Dataset!I:I/(Dataset!F:F=$D$11),K25),Dataset!I:I,0),1),"-")</f>
        <v>-</v>
      </c>
      <c r="O25" s="132" t="str">
        <f>IFERROR(INDEX(Dataset!AA:AA,MATCH(_xlfn.AGGREGATE(14,6,Dataset!I:I/(Dataset!F:F=$D$11),K25),Dataset!I:I,0),1),"-")</f>
        <v>-</v>
      </c>
      <c r="P25" s="134" t="str">
        <f>IFERROR(INDEX(Dataset!J:J,MATCH(_xlfn.AGGREGATE(14,6,Dataset!I:I/(Dataset!F:F=$D$11),K25),Dataset!I:I,0),1),"-")</f>
        <v>-</v>
      </c>
      <c r="R25" s="135">
        <v>120</v>
      </c>
      <c r="S25" s="141">
        <v>135</v>
      </c>
      <c r="T25" s="138">
        <f>SUMIFS(Dataset!AJ:AJ,Dataset!F:F,'renta fija'!$D$11,Dataset!AH:AH,"deposito",Dataset!T:T,"$",Dataset!J:J,"&lt;"&amp;$S25/365,Dataset!J:J,"&gt;="&amp;$R25/365)</f>
        <v>0</v>
      </c>
      <c r="U25" s="138">
        <f>SUMIFS(Dataset!AJ:AJ,Dataset!F:F,'renta fija'!$D$11,Dataset!AH:AH,"deposito",Dataset!T:T,"uf",Dataset!J:J,"&lt;"&amp;$S25/365,Dataset!J:J,"&gt;="&amp;$R25/365)</f>
        <v>0</v>
      </c>
      <c r="V25" s="138">
        <f>SUMIFS(Dataset!AJ:AJ,Dataset!F:F,'renta fija'!$D$11,Dataset!AH:AH,"deposito",Dataset!T:T,"us$",Dataset!J:J,"&lt;"&amp;$S25/365,Dataset!J:J,"&gt;="&amp;$R25/365)</f>
        <v>0</v>
      </c>
      <c r="W25" s="138">
        <f>SUMIFS(Dataset!AJ:AJ,Dataset!F:F,'renta fija'!$D$11,Dataset!AH:AH,"bono de gobierno",Dataset!T:T,"$",Dataset!J:J,"&lt;"&amp;$S25/365,Dataset!J:J,"&gt;="&amp;$R25/365)</f>
        <v>0</v>
      </c>
      <c r="X25" s="138">
        <f>SUMIFS(Dataset!AJ:AJ,Dataset!F:F,'renta fija'!$D$11,Dataset!AH:AH,"bono de gobierno",Dataset!T:T,"UF",Dataset!J:J,"&lt;"&amp;$S25/365,Dataset!J:J,"&gt;="&amp;$R25/365)</f>
        <v>0</v>
      </c>
      <c r="Y25" s="138">
        <f>SUMIFS(Dataset!AJ:AJ,Dataset!F:F,'renta fija'!$D$11,Dataset!AH:AH,"bono de gobierno",Dataset!T:T,"US$",Dataset!J:J,"&lt;"&amp;$S25/365,Dataset!J:J,"&gt;="&amp;$R25/365)</f>
        <v>0</v>
      </c>
      <c r="Z25" s="138">
        <f>SUMIFS(Dataset!AJ:AJ,Dataset!F:F,'renta fija'!$D$11,Dataset!AH:AH,"bono corporativo",Dataset!T:T,"$",Dataset!J:J,"&lt;"&amp;$S25/365,Dataset!J:J,"&gt;="&amp;$R25/365)</f>
        <v>0</v>
      </c>
      <c r="AA25" s="138">
        <f>SUMIFS(Dataset!AJ:AJ,Dataset!F:F,'renta fija'!$D$11,Dataset!AH:AH,"bono corporativo",Dataset!T:T,"UF",Dataset!J:J,"&lt;"&amp;$S25/365,Dataset!J:J,"&gt;="&amp;$R25/365)</f>
        <v>0</v>
      </c>
      <c r="AB25" s="138">
        <f>SUMIFS(Dataset!AJ:AJ,Dataset!F:F,'renta fija'!$D$11,Dataset!AH:AH,"bono corporativo",Dataset!T:T,"US$",Dataset!J:J,"&lt;"&amp;$S25/365,Dataset!J:J,"&gt;="&amp;$R25/365)</f>
        <v>0</v>
      </c>
      <c r="AC25" s="138">
        <f>SUMIFS(Dataset!AJ:AJ,Dataset!F:F,'renta fija'!$D$11,Dataset!AH:AH,"&lt;&gt;letra hipotecaria",Dataset!AH:AH,"&lt;&gt;bono corporativo",Dataset!AH:AH,"&lt;&gt;deposito",Dataset!AH:AH,"&lt;&gt;bono de gobierno",Dataset!J:J,"&lt;"&amp;$S25/365,Dataset!J:J,"&gt;="&amp;$R25/365)</f>
        <v>0</v>
      </c>
      <c r="AD25" s="142">
        <f t="shared" si="0"/>
        <v>0</v>
      </c>
      <c r="AE25" s="142">
        <f>SUMIFS(Dataset!AQ:AQ,Dataset!F:F,'renta fija'!$D$11,Dataset!J:J,"&lt;"&amp;$S25/365,Dataset!J:J,"&gt;="&amp;$R25/365)</f>
        <v>0</v>
      </c>
      <c r="AF25" s="143">
        <f>IFERROR(SUMIFS(Dataset!AQ:AQ,Dataset!F:F,'renta fija'!$D$11,Dataset!J:J,"&lt;"&amp;$S25/365,Dataset!J:J,"&gt;="&amp;$R25/365)/AD25,0)</f>
        <v>0</v>
      </c>
    </row>
    <row r="26" spans="3:32" ht="62.25" customHeight="1" x14ac:dyDescent="0.8">
      <c r="C26" s="131" t="s">
        <v>61</v>
      </c>
      <c r="D26" s="132">
        <f>SUMIFS(Dataset!AK:AK,Dataset!F:F,'renta fija'!D11,Dataset!AH:AH,"factura")</f>
        <v>0</v>
      </c>
      <c r="E26" s="133">
        <f>SUMIFS(Dataset!V:V,Dataset!F:F,'renta fija'!D11,Dataset!AH:AH,"factura")/1000000</f>
        <v>0</v>
      </c>
      <c r="F26" s="134">
        <f>SUMIFS(Dataset!H:H,Dataset!F:F,'renta fija'!D11,Dataset!AH:AH,"factura")*365</f>
        <v>0</v>
      </c>
      <c r="G26" s="132">
        <f>SUMIFS(Dataset!AQ:AQ,Dataset!F:F,'renta fija'!D11,Dataset!AH:AH,"factura")</f>
        <v>0</v>
      </c>
      <c r="H26" s="132">
        <f>SUMIFS(Dataset!I:I,Dataset!F:F,'renta fija'!D11,Dataset!AH:AH,"factura")</f>
        <v>0</v>
      </c>
      <c r="I26" s="132">
        <f>SUMIFS(Dataset!AA:AA,Dataset!F:F,'renta fija'!D11,Dataset!AH:AH,"factura")</f>
        <v>0</v>
      </c>
      <c r="K26" s="135">
        <v>10</v>
      </c>
      <c r="L26" s="132" t="str">
        <f>IFERROR(INDEX(Dataset!X:X,MATCH(_xlfn.AGGREGATE(14,6,Dataset!I:I/(Dataset!F:F=$D$11),K26),Dataset!I:I,0),1),"-")</f>
        <v>-</v>
      </c>
      <c r="M26" s="132" t="str">
        <f>IFERROR(INDEX(Dataset!AK:AK,MATCH(_xlfn.AGGREGATE(14,6,Dataset!I:I/(Dataset!F:F=$D$11),K26),Dataset!I:I,0),1),"-")</f>
        <v>-</v>
      </c>
      <c r="N26" s="132" t="str">
        <f>IFERROR(INDEX(Dataset!I:I,MATCH(_xlfn.AGGREGATE(14,6,Dataset!I:I/(Dataset!F:F=$D$11),K26),Dataset!I:I,0),1),"-")</f>
        <v>-</v>
      </c>
      <c r="O26" s="132" t="str">
        <f>IFERROR(INDEX(Dataset!AA:AA,MATCH(_xlfn.AGGREGATE(14,6,Dataset!I:I/(Dataset!F:F=$D$11),K26),Dataset!I:I,0),1),"-")</f>
        <v>-</v>
      </c>
      <c r="P26" s="134" t="str">
        <f>IFERROR(INDEX(Dataset!J:J,MATCH(_xlfn.AGGREGATE(14,6,Dataset!I:I/(Dataset!F:F=$D$11),K26),Dataset!I:I,0),1),"-")</f>
        <v>-</v>
      </c>
      <c r="R26" s="135">
        <v>135</v>
      </c>
      <c r="S26" s="141">
        <v>150</v>
      </c>
      <c r="T26" s="138">
        <f>SUMIFS(Dataset!AJ:AJ,Dataset!F:F,'renta fija'!$D$11,Dataset!AH:AH,"deposito",Dataset!T:T,"$",Dataset!J:J,"&lt;"&amp;$S26/365,Dataset!J:J,"&gt;="&amp;$R26/365)</f>
        <v>0</v>
      </c>
      <c r="U26" s="138">
        <f>SUMIFS(Dataset!AJ:AJ,Dataset!F:F,'renta fija'!$D$11,Dataset!AH:AH,"deposito",Dataset!T:T,"uf",Dataset!J:J,"&lt;"&amp;$S26/365,Dataset!J:J,"&gt;="&amp;$R26/365)</f>
        <v>0</v>
      </c>
      <c r="V26" s="138">
        <f>SUMIFS(Dataset!AJ:AJ,Dataset!F:F,'renta fija'!$D$11,Dataset!AH:AH,"deposito",Dataset!T:T,"us$",Dataset!J:J,"&lt;"&amp;$S26/365,Dataset!J:J,"&gt;="&amp;$R26/365)</f>
        <v>0</v>
      </c>
      <c r="W26" s="138">
        <f>SUMIFS(Dataset!AJ:AJ,Dataset!F:F,'renta fija'!$D$11,Dataset!AH:AH,"bono de gobierno",Dataset!T:T,"$",Dataset!J:J,"&lt;"&amp;$S26/365,Dataset!J:J,"&gt;="&amp;$R26/365)</f>
        <v>0</v>
      </c>
      <c r="X26" s="138">
        <f>SUMIFS(Dataset!AJ:AJ,Dataset!F:F,'renta fija'!$D$11,Dataset!AH:AH,"bono de gobierno",Dataset!T:T,"UF",Dataset!J:J,"&lt;"&amp;$S26/365,Dataset!J:J,"&gt;="&amp;$R26/365)</f>
        <v>0</v>
      </c>
      <c r="Y26" s="138">
        <f>SUMIFS(Dataset!AJ:AJ,Dataset!F:F,'renta fija'!$D$11,Dataset!AH:AH,"bono de gobierno",Dataset!T:T,"US$",Dataset!J:J,"&lt;"&amp;$S26/365,Dataset!J:J,"&gt;="&amp;$R26/365)</f>
        <v>0</v>
      </c>
      <c r="Z26" s="138">
        <f>SUMIFS(Dataset!AJ:AJ,Dataset!F:F,'renta fija'!$D$11,Dataset!AH:AH,"bono corporativo",Dataset!T:T,"$",Dataset!J:J,"&lt;"&amp;$S26/365,Dataset!J:J,"&gt;="&amp;$R26/365)</f>
        <v>0</v>
      </c>
      <c r="AA26" s="138">
        <f>SUMIFS(Dataset!AJ:AJ,Dataset!F:F,'renta fija'!$D$11,Dataset!AH:AH,"bono corporativo",Dataset!T:T,"UF",Dataset!J:J,"&lt;"&amp;$S26/365,Dataset!J:J,"&gt;="&amp;$R26/365)</f>
        <v>0</v>
      </c>
      <c r="AB26" s="138">
        <f>SUMIFS(Dataset!AJ:AJ,Dataset!F:F,'renta fija'!$D$11,Dataset!AH:AH,"bono corporativo",Dataset!T:T,"US$",Dataset!J:J,"&lt;"&amp;$S26/365,Dataset!J:J,"&gt;="&amp;$R26/365)</f>
        <v>0</v>
      </c>
      <c r="AC26" s="138">
        <f>SUMIFS(Dataset!AJ:AJ,Dataset!F:F,'renta fija'!$D$11,Dataset!AH:AH,"&lt;&gt;letra hipotecaria",Dataset!AH:AH,"&lt;&gt;bono corporativo",Dataset!AH:AH,"&lt;&gt;deposito",Dataset!AH:AH,"&lt;&gt;bono de gobierno",Dataset!J:J,"&lt;"&amp;$S26/365,Dataset!J:J,"&gt;="&amp;$R26/365)</f>
        <v>0</v>
      </c>
      <c r="AD26" s="142">
        <f t="shared" si="0"/>
        <v>0</v>
      </c>
      <c r="AE26" s="142">
        <f>SUMIFS(Dataset!AQ:AQ,Dataset!F:F,'renta fija'!$D$11,Dataset!J:J,"&lt;"&amp;$S26/365,Dataset!J:J,"&gt;="&amp;$R26/365)</f>
        <v>0</v>
      </c>
      <c r="AF26" s="143">
        <f>IFERROR(SUMIFS(Dataset!AQ:AQ,Dataset!F:F,'renta fija'!$D$11,Dataset!J:J,"&lt;"&amp;$S26/365,Dataset!J:J,"&gt;="&amp;$R26/365)/AD26,0)</f>
        <v>0</v>
      </c>
    </row>
    <row r="27" spans="3:32" ht="62.25" customHeight="1" x14ac:dyDescent="0.8">
      <c r="C27" s="131" t="s">
        <v>95</v>
      </c>
      <c r="D27" s="132">
        <f>SUMIFS(Dataset!AK:AK,Dataset!F:F,'renta fija'!D11,Dataset!AH:AH,"fx forward", Dataset!T:T,"$")</f>
        <v>0</v>
      </c>
      <c r="E27" s="133">
        <f>SUMIFS(Dataset!V:V,Dataset!F:F,'renta fija'!D11,Dataset!AH:AH,"fx forward", Dataset!T:T,"$")/1000000</f>
        <v>0</v>
      </c>
      <c r="F27" s="134">
        <f>SUMIFS(Dataset!H:H,Dataset!F:F,'renta fija'!D11,Dataset!AH:AH,"fx forward", Dataset!T:T,"$")*365</f>
        <v>0</v>
      </c>
      <c r="G27" s="132">
        <f>SUMIFS(Dataset!AQ:AQ,Dataset!F:F,'renta fija'!D11,Dataset!AH:AH,"fx forward", Dataset!T:T,"$")</f>
        <v>0</v>
      </c>
      <c r="H27" s="132">
        <f>SUMIFS(Dataset!I:I,Dataset!F:F,'renta fija'!D11,Dataset!AH:AH,"fx forward", Dataset!T:T,"$")</f>
        <v>0</v>
      </c>
      <c r="I27" s="132">
        <f>SUMIFS(Dataset!AA:AA,Dataset!F:F,'renta fija'!D11,Dataset!AH:AH,"fx forward", Dataset!T:T,"$")</f>
        <v>0</v>
      </c>
      <c r="R27" s="135">
        <v>150</v>
      </c>
      <c r="S27" s="141">
        <v>165</v>
      </c>
      <c r="T27" s="138">
        <f>SUMIFS(Dataset!AJ:AJ,Dataset!F:F,'renta fija'!$D$11,Dataset!AH:AH,"deposito",Dataset!T:T,"$",Dataset!J:J,"&lt;"&amp;$S27/365,Dataset!J:J,"&gt;="&amp;$R27/365)</f>
        <v>0</v>
      </c>
      <c r="U27" s="138">
        <f>SUMIFS(Dataset!AJ:AJ,Dataset!F:F,'renta fija'!$D$11,Dataset!AH:AH,"deposito",Dataset!T:T,"uf",Dataset!J:J,"&lt;"&amp;$S27/365,Dataset!J:J,"&gt;="&amp;$R27/365)</f>
        <v>0</v>
      </c>
      <c r="V27" s="138">
        <f>SUMIFS(Dataset!AJ:AJ,Dataset!F:F,'renta fija'!$D$11,Dataset!AH:AH,"deposito",Dataset!T:T,"us$",Dataset!J:J,"&lt;"&amp;$S27/365,Dataset!J:J,"&gt;="&amp;$R27/365)</f>
        <v>0</v>
      </c>
      <c r="W27" s="138">
        <f>SUMIFS(Dataset!AJ:AJ,Dataset!F:F,'renta fija'!$D$11,Dataset!AH:AH,"bono de gobierno",Dataset!T:T,"$",Dataset!J:J,"&lt;"&amp;$S27/365,Dataset!J:J,"&gt;="&amp;$R27/365)</f>
        <v>0</v>
      </c>
      <c r="X27" s="138">
        <f>SUMIFS(Dataset!AJ:AJ,Dataset!F:F,'renta fija'!$D$11,Dataset!AH:AH,"bono de gobierno",Dataset!T:T,"UF",Dataset!J:J,"&lt;"&amp;$S27/365,Dataset!J:J,"&gt;="&amp;$R27/365)</f>
        <v>0</v>
      </c>
      <c r="Y27" s="138">
        <f>SUMIFS(Dataset!AJ:AJ,Dataset!F:F,'renta fija'!$D$11,Dataset!AH:AH,"bono de gobierno",Dataset!T:T,"US$",Dataset!J:J,"&lt;"&amp;$S27/365,Dataset!J:J,"&gt;="&amp;$R27/365)</f>
        <v>0</v>
      </c>
      <c r="Z27" s="138">
        <f>SUMIFS(Dataset!AJ:AJ,Dataset!F:F,'renta fija'!$D$11,Dataset!AH:AH,"bono corporativo",Dataset!T:T,"$",Dataset!J:J,"&lt;"&amp;$S27/365,Dataset!J:J,"&gt;="&amp;$R27/365)</f>
        <v>0</v>
      </c>
      <c r="AA27" s="138">
        <f>SUMIFS(Dataset!AJ:AJ,Dataset!F:F,'renta fija'!$D$11,Dataset!AH:AH,"bono corporativo",Dataset!T:T,"UF",Dataset!J:J,"&lt;"&amp;$S27/365,Dataset!J:J,"&gt;="&amp;$R27/365)</f>
        <v>0</v>
      </c>
      <c r="AB27" s="138">
        <f>SUMIFS(Dataset!AJ:AJ,Dataset!F:F,'renta fija'!$D$11,Dataset!AH:AH,"bono corporativo",Dataset!T:T,"US$",Dataset!J:J,"&lt;"&amp;$S27/365,Dataset!J:J,"&gt;="&amp;$R27/365)</f>
        <v>0</v>
      </c>
      <c r="AC27" s="138">
        <f>SUMIFS(Dataset!AJ:AJ,Dataset!F:F,'renta fija'!$D$11,Dataset!AH:AH,"&lt;&gt;letra hipotecaria",Dataset!AH:AH,"&lt;&gt;bono corporativo",Dataset!AH:AH,"&lt;&gt;deposito",Dataset!AH:AH,"&lt;&gt;bono de gobierno",Dataset!J:J,"&lt;"&amp;$S27/365,Dataset!J:J,"&gt;="&amp;$R27/365)</f>
        <v>0</v>
      </c>
      <c r="AD27" s="142">
        <f t="shared" si="0"/>
        <v>0</v>
      </c>
      <c r="AE27" s="142">
        <f>SUMIFS(Dataset!AQ:AQ,Dataset!F:F,'renta fija'!$D$11,Dataset!J:J,"&lt;"&amp;$S27/365,Dataset!J:J,"&gt;="&amp;$R27/365)</f>
        <v>0</v>
      </c>
      <c r="AF27" s="143">
        <f>IFERROR(SUMIFS(Dataset!AQ:AQ,Dataset!F:F,'renta fija'!$D$11,Dataset!J:J,"&lt;"&amp;$S27/365,Dataset!J:J,"&gt;="&amp;$R27/365)/AD27,0)</f>
        <v>0</v>
      </c>
    </row>
    <row r="28" spans="3:32" ht="62.25" customHeight="1" x14ac:dyDescent="0.8">
      <c r="C28" s="131" t="s">
        <v>115</v>
      </c>
      <c r="D28" s="132">
        <f>SUMIFS(Dataset!AK:AK,Dataset!F:F,'renta fija'!D11,Dataset!AH:AH,"fx forward", Dataset!T:T,"uf")</f>
        <v>0</v>
      </c>
      <c r="E28" s="133">
        <f>SUMIFS(Dataset!V:V,Dataset!F:F,'renta fija'!D11,Dataset!AH:AH,"fx forward", Dataset!T:T,"uf")/1000000</f>
        <v>0</v>
      </c>
      <c r="F28" s="134">
        <f>SUMIFS(Dataset!H:H,Dataset!F:F,'renta fija'!D11,Dataset!AH:AH,"fx forward", Dataset!T:T,"uf")*365</f>
        <v>0</v>
      </c>
      <c r="G28" s="132">
        <f>SUMIFS(Dataset!AQ:AQ,Dataset!F:F,'renta fija'!D11,Dataset!AH:AH,"fx forward", Dataset!T:T,"uf")</f>
        <v>0</v>
      </c>
      <c r="H28" s="132">
        <f>SUMIFS(Dataset!I:I,Dataset!F:F,'renta fija'!D11,Dataset!AH:AH,"fx forward", Dataset!T:T,"uf")</f>
        <v>0</v>
      </c>
      <c r="I28" s="132">
        <f>SUMIFS(Dataset!AA:AA,Dataset!F:F,'renta fija'!D11,Dataset!AH:AH,"fx forward", Dataset!T:T,"uf")</f>
        <v>0</v>
      </c>
      <c r="R28" s="135">
        <v>165</v>
      </c>
      <c r="S28" s="141">
        <v>180</v>
      </c>
      <c r="T28" s="138">
        <f>SUMIFS(Dataset!AJ:AJ,Dataset!F:F,'renta fija'!$D$11,Dataset!AH:AH,"deposito",Dataset!T:T,"$",Dataset!J:J,"&lt;"&amp;$S28/365,Dataset!J:J,"&gt;="&amp;$R28/365)</f>
        <v>0</v>
      </c>
      <c r="U28" s="138">
        <f>SUMIFS(Dataset!AJ:AJ,Dataset!F:F,'renta fija'!$D$11,Dataset!AH:AH,"deposito",Dataset!T:T,"uf",Dataset!J:J,"&lt;"&amp;$S28/365,Dataset!J:J,"&gt;="&amp;$R28/365)</f>
        <v>0</v>
      </c>
      <c r="V28" s="138">
        <f>SUMIFS(Dataset!AJ:AJ,Dataset!F:F,'renta fija'!$D$11,Dataset!AH:AH,"deposito",Dataset!T:T,"us$",Dataset!J:J,"&lt;"&amp;$S28/365,Dataset!J:J,"&gt;="&amp;$R28/365)</f>
        <v>0</v>
      </c>
      <c r="W28" s="138">
        <f>SUMIFS(Dataset!AJ:AJ,Dataset!F:F,'renta fija'!$D$11,Dataset!AH:AH,"bono de gobierno",Dataset!T:T,"$",Dataset!J:J,"&lt;"&amp;$S28/365,Dataset!J:J,"&gt;="&amp;$R28/365)</f>
        <v>0</v>
      </c>
      <c r="X28" s="138">
        <f>SUMIFS(Dataset!AJ:AJ,Dataset!F:F,'renta fija'!$D$11,Dataset!AH:AH,"bono de gobierno",Dataset!T:T,"UF",Dataset!J:J,"&lt;"&amp;$S28/365,Dataset!J:J,"&gt;="&amp;$R28/365)</f>
        <v>0</v>
      </c>
      <c r="Y28" s="138">
        <f>SUMIFS(Dataset!AJ:AJ,Dataset!F:F,'renta fija'!$D$11,Dataset!AH:AH,"bono de gobierno",Dataset!T:T,"US$",Dataset!J:J,"&lt;"&amp;$S28/365,Dataset!J:J,"&gt;="&amp;$R28/365)</f>
        <v>0</v>
      </c>
      <c r="Z28" s="138">
        <f>SUMIFS(Dataset!AJ:AJ,Dataset!F:F,'renta fija'!$D$11,Dataset!AH:AH,"bono corporativo",Dataset!T:T,"$",Dataset!J:J,"&lt;"&amp;$S28/365,Dataset!J:J,"&gt;="&amp;$R28/365)</f>
        <v>0</v>
      </c>
      <c r="AA28" s="138">
        <f>SUMIFS(Dataset!AJ:AJ,Dataset!F:F,'renta fija'!$D$11,Dataset!AH:AH,"bono corporativo",Dataset!T:T,"UF",Dataset!J:J,"&lt;"&amp;$S28/365,Dataset!J:J,"&gt;="&amp;$R28/365)</f>
        <v>0</v>
      </c>
      <c r="AB28" s="138">
        <f>SUMIFS(Dataset!AJ:AJ,Dataset!F:F,'renta fija'!$D$11,Dataset!AH:AH,"bono corporativo",Dataset!T:T,"US$",Dataset!J:J,"&lt;"&amp;$S28/365,Dataset!J:J,"&gt;="&amp;$R28/365)</f>
        <v>0</v>
      </c>
      <c r="AC28" s="138">
        <f>SUMIFS(Dataset!AJ:AJ,Dataset!F:F,'renta fija'!$D$11,Dataset!AH:AH,"&lt;&gt;letra hipotecaria",Dataset!AH:AH,"&lt;&gt;bono corporativo",Dataset!AH:AH,"&lt;&gt;deposito",Dataset!AH:AH,"&lt;&gt;bono de gobierno",Dataset!J:J,"&lt;"&amp;$S28/365,Dataset!J:J,"&gt;="&amp;$R28/365)</f>
        <v>0</v>
      </c>
      <c r="AD28" s="142">
        <f t="shared" si="0"/>
        <v>0</v>
      </c>
      <c r="AE28" s="142">
        <f>SUMIFS(Dataset!AQ:AQ,Dataset!F:F,'renta fija'!$D$11,Dataset!J:J,"&lt;"&amp;$S28/365,Dataset!J:J,"&gt;="&amp;$R28/365)</f>
        <v>0</v>
      </c>
      <c r="AF28" s="143">
        <f>IFERROR(SUMIFS(Dataset!AQ:AQ,Dataset!F:F,'renta fija'!$D$11,Dataset!J:J,"&lt;"&amp;$S28/365,Dataset!J:J,"&gt;="&amp;$R28/365)/AD28,0)</f>
        <v>0</v>
      </c>
    </row>
    <row r="29" spans="3:32" ht="89.25" customHeight="1" x14ac:dyDescent="0.8">
      <c r="C29" s="131" t="s">
        <v>96</v>
      </c>
      <c r="D29" s="132">
        <f>SUMIFS(Dataset!AK:AK,Dataset!F:F,'renta fija'!D11,Dataset!AH:AH,"fx forward", Dataset!T:T,"us$")</f>
        <v>0</v>
      </c>
      <c r="E29" s="133">
        <f>SUMIFS(Dataset!V:V,Dataset!F:F,'renta fija'!D11,Dataset!AH:AH,"fx forward", Dataset!T:T,"us$")/1000000</f>
        <v>0</v>
      </c>
      <c r="F29" s="134">
        <f>SUMIFS(Dataset!H:H,Dataset!F:F,'renta fija'!D11,Dataset!AH:AH,"fx forward", Dataset!T:T,"us$")*365</f>
        <v>0</v>
      </c>
      <c r="G29" s="132">
        <f>SUMIFS(Dataset!AQ:AQ,Dataset!F:F,'renta fija'!D11,Dataset!AH:AH,"fx forward", Dataset!T:T,"us$")</f>
        <v>0</v>
      </c>
      <c r="H29" s="132">
        <f>SUMIFS(Dataset!I:I,Dataset!F:F,'renta fija'!D11,Dataset!AH:AH,"fx forward", Dataset!T:T,"us$")</f>
        <v>0</v>
      </c>
      <c r="I29" s="132">
        <f>SUMIFS(Dataset!AA:AA,Dataset!F:F,'renta fija'!D11,Dataset!AH:AH,"fx forward", Dataset!T:T,"us$")</f>
        <v>0</v>
      </c>
      <c r="K29" s="186" t="s">
        <v>223</v>
      </c>
      <c r="L29" s="186"/>
      <c r="M29" s="186"/>
      <c r="N29" s="186"/>
      <c r="O29" s="186"/>
      <c r="P29" s="186"/>
      <c r="R29" s="135">
        <v>180</v>
      </c>
      <c r="S29" s="141">
        <v>195</v>
      </c>
      <c r="T29" s="138">
        <f>SUMIFS(Dataset!AJ:AJ,Dataset!F:F,'renta fija'!$D$11,Dataset!AH:AH,"deposito",Dataset!T:T,"$",Dataset!J:J,"&lt;"&amp;$S29/365,Dataset!J:J,"&gt;="&amp;$R29/365)</f>
        <v>0</v>
      </c>
      <c r="U29" s="138">
        <f>SUMIFS(Dataset!AJ:AJ,Dataset!F:F,'renta fija'!$D$11,Dataset!AH:AH,"deposito",Dataset!T:T,"uf",Dataset!J:J,"&lt;"&amp;$S29/365,Dataset!J:J,"&gt;="&amp;$R29/365)</f>
        <v>0</v>
      </c>
      <c r="V29" s="138">
        <f>SUMIFS(Dataset!AJ:AJ,Dataset!F:F,'renta fija'!$D$11,Dataset!AH:AH,"deposito",Dataset!T:T,"us$",Dataset!J:J,"&lt;"&amp;$S29/365,Dataset!J:J,"&gt;="&amp;$R29/365)</f>
        <v>0</v>
      </c>
      <c r="W29" s="138">
        <f>SUMIFS(Dataset!AJ:AJ,Dataset!F:F,'renta fija'!$D$11,Dataset!AH:AH,"bono de gobierno",Dataset!T:T,"$",Dataset!J:J,"&lt;"&amp;$S29/365,Dataset!J:J,"&gt;="&amp;$R29/365)</f>
        <v>0</v>
      </c>
      <c r="X29" s="138">
        <f>SUMIFS(Dataset!AJ:AJ,Dataset!F:F,'renta fija'!$D$11,Dataset!AH:AH,"bono de gobierno",Dataset!T:T,"UF",Dataset!J:J,"&lt;"&amp;$S29/365,Dataset!J:J,"&gt;="&amp;$R29/365)</f>
        <v>0</v>
      </c>
      <c r="Y29" s="138">
        <f>SUMIFS(Dataset!AJ:AJ,Dataset!F:F,'renta fija'!$D$11,Dataset!AH:AH,"bono de gobierno",Dataset!T:T,"US$",Dataset!J:J,"&lt;"&amp;$S29/365,Dataset!J:J,"&gt;="&amp;$R29/365)</f>
        <v>0</v>
      </c>
      <c r="Z29" s="138">
        <f>SUMIFS(Dataset!AJ:AJ,Dataset!F:F,'renta fija'!$D$11,Dataset!AH:AH,"bono corporativo",Dataset!T:T,"$",Dataset!J:J,"&lt;"&amp;$S29/365,Dataset!J:J,"&gt;="&amp;$R29/365)</f>
        <v>0</v>
      </c>
      <c r="AA29" s="138">
        <f>SUMIFS(Dataset!AJ:AJ,Dataset!F:F,'renta fija'!$D$11,Dataset!AH:AH,"bono corporativo",Dataset!T:T,"UF",Dataset!J:J,"&lt;"&amp;$S29/365,Dataset!J:J,"&gt;="&amp;$R29/365)</f>
        <v>0</v>
      </c>
      <c r="AB29" s="138">
        <f>SUMIFS(Dataset!AJ:AJ,Dataset!F:F,'renta fija'!$D$11,Dataset!AH:AH,"bono corporativo",Dataset!T:T,"US$",Dataset!J:J,"&lt;"&amp;$S29/365,Dataset!J:J,"&gt;="&amp;$R29/365)</f>
        <v>0</v>
      </c>
      <c r="AC29" s="138">
        <f>SUMIFS(Dataset!AJ:AJ,Dataset!F:F,'renta fija'!$D$11,Dataset!AH:AH,"&lt;&gt;letra hipotecaria",Dataset!AH:AH,"&lt;&gt;bono corporativo",Dataset!AH:AH,"&lt;&gt;deposito",Dataset!AH:AH,"&lt;&gt;bono de gobierno",Dataset!J:J,"&lt;"&amp;$S29/365,Dataset!J:J,"&gt;="&amp;$R29/365)</f>
        <v>0</v>
      </c>
      <c r="AD29" s="142">
        <f t="shared" si="0"/>
        <v>0</v>
      </c>
      <c r="AE29" s="142">
        <f>SUMIFS(Dataset!AQ:AQ,Dataset!F:F,'renta fija'!$D$11,Dataset!J:J,"&lt;"&amp;$S29/365,Dataset!J:J,"&gt;="&amp;$R29/365)</f>
        <v>0</v>
      </c>
      <c r="AF29" s="143">
        <f>IFERROR(SUMIFS(Dataset!AQ:AQ,Dataset!F:F,'renta fija'!$D$11,Dataset!J:J,"&lt;"&amp;$S29/365,Dataset!J:J,"&gt;="&amp;$R29/365)/AD29,0)</f>
        <v>0</v>
      </c>
    </row>
    <row r="30" spans="3:32" ht="62.25" customHeight="1" x14ac:dyDescent="0.8">
      <c r="C30" s="131" t="s">
        <v>97</v>
      </c>
      <c r="D30" s="132">
        <f>SUMIFS(Dataset!AK:AK,Dataset!F:F,'renta fija'!D11,Dataset!AH:AH,"fx", Dataset!T:T,"$")</f>
        <v>0</v>
      </c>
      <c r="E30" s="133">
        <f>SUMIFS(Dataset!V:V,Dataset!F:F,'renta fija'!D11,Dataset!AH:AH,"fx", Dataset!T:T,"$")/1000000</f>
        <v>0</v>
      </c>
      <c r="F30" s="134">
        <f>SUMIFS(Dataset!H:H,Dataset!F:F,'renta fija'!D11,Dataset!AH:AH,"fx", Dataset!T:T,"$")*365</f>
        <v>0</v>
      </c>
      <c r="G30" s="132">
        <f>SUMIFS(Dataset!AQ:AQ,Dataset!F:F,'renta fija'!D11,Dataset!AH:AH,"fx", Dataset!T:T,"$")</f>
        <v>0</v>
      </c>
      <c r="H30" s="132">
        <f>SUMIFS(Dataset!I:I,Dataset!F:F,'renta fija'!D11,Dataset!AH:AH,"fx", Dataset!T:T,"$")</f>
        <v>0</v>
      </c>
      <c r="I30" s="132">
        <f>SUMIFS(Dataset!AA:AA,Dataset!F:F,'renta fija'!D11,Dataset!AH:AH,"fx", Dataset!T:T,"$")</f>
        <v>0</v>
      </c>
      <c r="R30" s="135">
        <v>195</v>
      </c>
      <c r="S30" s="141">
        <v>210</v>
      </c>
      <c r="T30" s="138">
        <f>SUMIFS(Dataset!AJ:AJ,Dataset!F:F,'renta fija'!$D$11,Dataset!AH:AH,"deposito",Dataset!T:T,"$",Dataset!J:J,"&lt;"&amp;$S30/365,Dataset!J:J,"&gt;="&amp;$R30/365)</f>
        <v>0</v>
      </c>
      <c r="U30" s="138">
        <f>SUMIFS(Dataset!AJ:AJ,Dataset!F:F,'renta fija'!$D$11,Dataset!AH:AH,"deposito",Dataset!T:T,"uf",Dataset!J:J,"&lt;"&amp;$S30/365,Dataset!J:J,"&gt;="&amp;$R30/365)</f>
        <v>0</v>
      </c>
      <c r="V30" s="138">
        <f>SUMIFS(Dataset!AJ:AJ,Dataset!F:F,'renta fija'!$D$11,Dataset!AH:AH,"deposito",Dataset!T:T,"us$",Dataset!J:J,"&lt;"&amp;$S30/365,Dataset!J:J,"&gt;="&amp;$R30/365)</f>
        <v>0</v>
      </c>
      <c r="W30" s="138">
        <f>SUMIFS(Dataset!AJ:AJ,Dataset!F:F,'renta fija'!$D$11,Dataset!AH:AH,"bono de gobierno",Dataset!T:T,"$",Dataset!J:J,"&lt;"&amp;$S30/365,Dataset!J:J,"&gt;="&amp;$R30/365)</f>
        <v>0</v>
      </c>
      <c r="X30" s="138">
        <f>SUMIFS(Dataset!AJ:AJ,Dataset!F:F,'renta fija'!$D$11,Dataset!AH:AH,"bono de gobierno",Dataset!T:T,"UF",Dataset!J:J,"&lt;"&amp;$S30/365,Dataset!J:J,"&gt;="&amp;$R30/365)</f>
        <v>0</v>
      </c>
      <c r="Y30" s="138">
        <f>SUMIFS(Dataset!AJ:AJ,Dataset!F:F,'renta fija'!$D$11,Dataset!AH:AH,"bono de gobierno",Dataset!T:T,"US$",Dataset!J:J,"&lt;"&amp;$S30/365,Dataset!J:J,"&gt;="&amp;$R30/365)</f>
        <v>0</v>
      </c>
      <c r="Z30" s="138">
        <f>SUMIFS(Dataset!AJ:AJ,Dataset!F:F,'renta fija'!$D$11,Dataset!AH:AH,"bono corporativo",Dataset!T:T,"$",Dataset!J:J,"&lt;"&amp;$S30/365,Dataset!J:J,"&gt;="&amp;$R30/365)</f>
        <v>0</v>
      </c>
      <c r="AA30" s="138">
        <f>SUMIFS(Dataset!AJ:AJ,Dataset!F:F,'renta fija'!$D$11,Dataset!AH:AH,"bono corporativo",Dataset!T:T,"UF",Dataset!J:J,"&lt;"&amp;$S30/365,Dataset!J:J,"&gt;="&amp;$R30/365)</f>
        <v>0</v>
      </c>
      <c r="AB30" s="138">
        <f>SUMIFS(Dataset!AJ:AJ,Dataset!F:F,'renta fija'!$D$11,Dataset!AH:AH,"bono corporativo",Dataset!T:T,"US$",Dataset!J:J,"&lt;"&amp;$S30/365,Dataset!J:J,"&gt;="&amp;$R30/365)</f>
        <v>0</v>
      </c>
      <c r="AC30" s="138">
        <f>SUMIFS(Dataset!AJ:AJ,Dataset!F:F,'renta fija'!$D$11,Dataset!AH:AH,"&lt;&gt;letra hipotecaria",Dataset!AH:AH,"&lt;&gt;bono corporativo",Dataset!AH:AH,"&lt;&gt;deposito",Dataset!AH:AH,"&lt;&gt;bono de gobierno",Dataset!J:J,"&lt;"&amp;$S30/365,Dataset!J:J,"&gt;="&amp;$R30/365)</f>
        <v>0</v>
      </c>
      <c r="AD30" s="142">
        <f t="shared" si="0"/>
        <v>0</v>
      </c>
      <c r="AE30" s="142">
        <f>SUMIFS(Dataset!AQ:AQ,Dataset!F:F,'renta fija'!$D$11,Dataset!J:J,"&lt;"&amp;$S30/365,Dataset!J:J,"&gt;="&amp;$R30/365)</f>
        <v>0</v>
      </c>
      <c r="AF30" s="143">
        <f>IFERROR(SUMIFS(Dataset!AQ:AQ,Dataset!F:F,'renta fija'!$D$11,Dataset!J:J,"&lt;"&amp;$S30/365,Dataset!J:J,"&gt;="&amp;$R30/365)/AD30,0)</f>
        <v>0</v>
      </c>
    </row>
    <row r="31" spans="3:32" ht="62.25" customHeight="1" x14ac:dyDescent="0.8">
      <c r="C31" s="131" t="s">
        <v>98</v>
      </c>
      <c r="D31" s="132">
        <f>SUMIFS(Dataset!AK:AK,Dataset!F:F,'renta fija'!D11,Dataset!AH:AH,"fx", Dataset!T:T,"us$")</f>
        <v>0</v>
      </c>
      <c r="E31" s="133">
        <f>SUMIFS(Dataset!V:V,Dataset!F:F,'renta fija'!D11,Dataset!AH:AH,"fx", Dataset!T:T,"us$")/1000000</f>
        <v>0</v>
      </c>
      <c r="F31" s="134">
        <f>SUMIFS(Dataset!H:H,Dataset!F:F,'renta fija'!D11,Dataset!AH:AH,"fx", Dataset!T:T,"us$")*365</f>
        <v>0</v>
      </c>
      <c r="G31" s="132">
        <f>SUMIFS(Dataset!AQ:AQ,Dataset!F:F,'renta fija'!D11,Dataset!AH:AH,"fx", Dataset!T:T,"us$")</f>
        <v>0</v>
      </c>
      <c r="H31" s="132">
        <f>SUMIFS(Dataset!I:I,Dataset!F:F,'renta fija'!D11,Dataset!AH:AH,"fx", Dataset!T:T,"us$")</f>
        <v>0</v>
      </c>
      <c r="I31" s="132">
        <f>SUMIFS(Dataset!AA:AA,Dataset!F:F,'renta fija'!D11,Dataset!AH:AH,"fx", Dataset!T:T,"us$")</f>
        <v>0</v>
      </c>
      <c r="K31" s="130" t="s">
        <v>81</v>
      </c>
      <c r="L31" s="130" t="s">
        <v>82</v>
      </c>
      <c r="M31" s="130" t="s">
        <v>66</v>
      </c>
      <c r="N31" s="130" t="s">
        <v>6</v>
      </c>
      <c r="O31" s="130" t="s">
        <v>21</v>
      </c>
      <c r="P31" s="130" t="s">
        <v>68</v>
      </c>
      <c r="R31" s="135">
        <v>210</v>
      </c>
      <c r="S31" s="141">
        <v>225</v>
      </c>
      <c r="T31" s="138">
        <f>SUMIFS(Dataset!AJ:AJ,Dataset!F:F,'renta fija'!$D$11,Dataset!AH:AH,"deposito",Dataset!T:T,"$",Dataset!J:J,"&lt;"&amp;$S31/365,Dataset!J:J,"&gt;="&amp;$R31/365)</f>
        <v>0</v>
      </c>
      <c r="U31" s="138">
        <f>SUMIFS(Dataset!AJ:AJ,Dataset!F:F,'renta fija'!$D$11,Dataset!AH:AH,"deposito",Dataset!T:T,"uf",Dataset!J:J,"&lt;"&amp;$S31/365,Dataset!J:J,"&gt;="&amp;$R31/365)</f>
        <v>0</v>
      </c>
      <c r="V31" s="138">
        <f>SUMIFS(Dataset!AJ:AJ,Dataset!F:F,'renta fija'!$D$11,Dataset!AH:AH,"deposito",Dataset!T:T,"us$",Dataset!J:J,"&lt;"&amp;$S31/365,Dataset!J:J,"&gt;="&amp;$R31/365)</f>
        <v>0</v>
      </c>
      <c r="W31" s="138">
        <f>SUMIFS(Dataset!AJ:AJ,Dataset!F:F,'renta fija'!$D$11,Dataset!AH:AH,"bono de gobierno",Dataset!T:T,"$",Dataset!J:J,"&lt;"&amp;$S31/365,Dataset!J:J,"&gt;="&amp;$R31/365)</f>
        <v>0</v>
      </c>
      <c r="X31" s="138">
        <f>SUMIFS(Dataset!AJ:AJ,Dataset!F:F,'renta fija'!$D$11,Dataset!AH:AH,"bono de gobierno",Dataset!T:T,"UF",Dataset!J:J,"&lt;"&amp;$S31/365,Dataset!J:J,"&gt;="&amp;$R31/365)</f>
        <v>0</v>
      </c>
      <c r="Y31" s="138">
        <f>SUMIFS(Dataset!AJ:AJ,Dataset!F:F,'renta fija'!$D$11,Dataset!AH:AH,"bono de gobierno",Dataset!T:T,"US$",Dataset!J:J,"&lt;"&amp;$S31/365,Dataset!J:J,"&gt;="&amp;$R31/365)</f>
        <v>0</v>
      </c>
      <c r="Z31" s="138">
        <f>SUMIFS(Dataset!AJ:AJ,Dataset!F:F,'renta fija'!$D$11,Dataset!AH:AH,"bono corporativo",Dataset!T:T,"$",Dataset!J:J,"&lt;"&amp;$S31/365,Dataset!J:J,"&gt;="&amp;$R31/365)</f>
        <v>0</v>
      </c>
      <c r="AA31" s="138">
        <f>SUMIFS(Dataset!AJ:AJ,Dataset!F:F,'renta fija'!$D$11,Dataset!AH:AH,"bono corporativo",Dataset!T:T,"UF",Dataset!J:J,"&lt;"&amp;$S31/365,Dataset!J:J,"&gt;="&amp;$R31/365)</f>
        <v>0</v>
      </c>
      <c r="AB31" s="138">
        <f>SUMIFS(Dataset!AJ:AJ,Dataset!F:F,'renta fija'!$D$11,Dataset!AH:AH,"bono corporativo",Dataset!T:T,"US$",Dataset!J:J,"&lt;"&amp;$S31/365,Dataset!J:J,"&gt;="&amp;$R31/365)</f>
        <v>0</v>
      </c>
      <c r="AC31" s="138">
        <f>SUMIFS(Dataset!AJ:AJ,Dataset!F:F,'renta fija'!$D$11,Dataset!AH:AH,"&lt;&gt;letra hipotecaria",Dataset!AH:AH,"&lt;&gt;bono corporativo",Dataset!AH:AH,"&lt;&gt;deposito",Dataset!AH:AH,"&lt;&gt;bono de gobierno",Dataset!J:J,"&lt;"&amp;$S31/365,Dataset!J:J,"&gt;="&amp;$R31/365)</f>
        <v>0</v>
      </c>
      <c r="AD31" s="142">
        <f t="shared" si="0"/>
        <v>0</v>
      </c>
      <c r="AE31" s="142">
        <f>SUMIFS(Dataset!AQ:AQ,Dataset!F:F,'renta fija'!$D$11,Dataset!J:J,"&lt;"&amp;$S31/365,Dataset!J:J,"&gt;="&amp;$R31/365)</f>
        <v>0</v>
      </c>
      <c r="AF31" s="143">
        <f>IFERROR(SUMIFS(Dataset!AQ:AQ,Dataset!F:F,'renta fija'!$D$11,Dataset!J:J,"&lt;"&amp;$S31/365,Dataset!J:J,"&gt;="&amp;$R31/365)/AD31,0)</f>
        <v>0</v>
      </c>
    </row>
    <row r="32" spans="3:32" ht="62.25" customHeight="1" x14ac:dyDescent="0.8">
      <c r="C32" s="131" t="s">
        <v>37</v>
      </c>
      <c r="D32" s="132">
        <f>SUMIFS(Dataset!AK:AK,Dataset!F:F,'renta fija'!D11,Dataset!AH:AH,"&lt;&gt;deposito",Dataset!AH:AH,"&lt;&gt;bono de gobierno",Dataset!AH:AH,"&lt;&gt;bono corporativo",Dataset!AH:AH,"&lt;&gt;factura",Dataset!AH:AH,"&lt;&gt;fx",Dataset!AH:AH,"&lt;&gt;fx forward")</f>
        <v>0</v>
      </c>
      <c r="E32" s="133">
        <f>SUMIFS(Dataset!V:V,Dataset!F:F,'renta fija'!D11,Dataset!AH:AH,"&lt;&gt;deposito",Dataset!AH:AH,"&lt;&gt;bono de gobierno",Dataset!AH:AH,"&lt;&gt;bono corporativo",Dataset!AH:AH,"&lt;&gt;factura",Dataset!AH:AH,"&lt;&gt;fx",Dataset!AH:AH,"&lt;&gt;fx forward")/1000000</f>
        <v>0</v>
      </c>
      <c r="F32" s="134">
        <f>SUMIFS(Dataset!H:H,Dataset!F:F,'renta fija'!D11,Dataset!AH:AH,"&lt;&gt;deposito",Dataset!AH:AH,"&lt;&gt;bono de gobierno",Dataset!AH:AH,"&lt;&gt;bono corporativo",Dataset!AH:AH,"&lt;&gt;factura",Dataset!AH:AH,"&lt;&gt;fx",Dataset!AH:AH,"&lt;&gt;fx forward")*365</f>
        <v>0</v>
      </c>
      <c r="G32" s="132">
        <f>SUMIFS(Dataset!AQ:AQ,Dataset!F:F,'renta fija'!D11,Dataset!AH:AH,"&lt;&gt;deposito",Dataset!AH:AH,"&lt;&gt;bono de gobierno",Dataset!AH:AH,"&lt;&gt;bono corporativo",Dataset!AH:AH,"&lt;&gt;factura",Dataset!AH:AH,"&lt;&gt;fx",Dataset!AH:AH,"&lt;&gt;fx forward")</f>
        <v>0</v>
      </c>
      <c r="H32" s="132">
        <f>SUMIFS(Dataset!I:I,Dataset!F:F,'renta fija'!D11,Dataset!AH:AH,"&lt;&gt;deposito",Dataset!AH:AH,"&lt;&gt;bono de gobierno",Dataset!AH:AH,"&lt;&gt;bono corporativo",Dataset!AH:AH,"&lt;&gt;factura",Dataset!AH:AH,"&lt;&gt;fx",Dataset!AH:AH,"&lt;&gt;fx forward")</f>
        <v>0</v>
      </c>
      <c r="I32" s="132">
        <f>SUMIFS(Dataset!AA:AA,Dataset!F:F,'renta fija'!D11,Dataset!AH:AH,"&lt;&gt;deposito",Dataset!AH:AH,"&lt;&gt;bono de gobierno",Dataset!AH:AH,"&lt;&gt;bono corporativo",Dataset!AH:AH,"&lt;&gt;factura",Dataset!AH:AH,"&lt;&gt;fx",Dataset!AH:AH,"&lt;&gt;fx forward")</f>
        <v>0</v>
      </c>
      <c r="K32" s="135">
        <v>1</v>
      </c>
      <c r="L32" s="132" t="str">
        <f>IFERROR(INDEX(Dataset!X:X,MATCH(_xlfn.AGGREGATE(14,6,Dataset!AK:AK/(Dataset!F:F=$D$11),K32),Dataset!AK:AK,0),1),"-")</f>
        <v>-</v>
      </c>
      <c r="M32" s="132" t="str">
        <f>IFERROR(INDEX(Dataset!AK:AK,MATCH(_xlfn.AGGREGATE(14,6,Dataset!AK:AK/(Dataset!F:F=$D$11),K32),Dataset!AK:AK,0),1),"-")</f>
        <v>-</v>
      </c>
      <c r="N32" s="132" t="str">
        <f>IFERROR(INDEX(Dataset!I:I,MATCH(_xlfn.AGGREGATE(14,6,Dataset!AK:AK/(Dataset!F:F=$D$11),K32),Dataset!AK:AK,0),1),"-")</f>
        <v>-</v>
      </c>
      <c r="O32" s="132" t="str">
        <f>IFERROR(INDEX(Dataset!AA:AA,MATCH(_xlfn.AGGREGATE(14,6,Dataset!AK:AK/(Dataset!F:F=$D$11),K32),Dataset!AK:AK,0),1),"-")</f>
        <v>-</v>
      </c>
      <c r="P32" s="134" t="str">
        <f>IFERROR(INDEX(Dataset!J:J,MATCH(_xlfn.AGGREGATE(14,6,Dataset!AK:AK/(Dataset!F:F=$D$11),K32),Dataset!AK:AK,0),1),"-")</f>
        <v>-</v>
      </c>
      <c r="R32" s="135">
        <v>225</v>
      </c>
      <c r="S32" s="141">
        <v>240</v>
      </c>
      <c r="T32" s="138">
        <f>SUMIFS(Dataset!AJ:AJ,Dataset!F:F,'renta fija'!$D$11,Dataset!AH:AH,"deposito",Dataset!T:T,"$",Dataset!J:J,"&lt;"&amp;$S32/365,Dataset!J:J,"&gt;="&amp;$R32/365)</f>
        <v>0</v>
      </c>
      <c r="U32" s="138">
        <f>SUMIFS(Dataset!AJ:AJ,Dataset!F:F,'renta fija'!$D$11,Dataset!AH:AH,"deposito",Dataset!T:T,"uf",Dataset!J:J,"&lt;"&amp;$S32/365,Dataset!J:J,"&gt;="&amp;$R32/365)</f>
        <v>0</v>
      </c>
      <c r="V32" s="138">
        <f>SUMIFS(Dataset!AJ:AJ,Dataset!F:F,'renta fija'!$D$11,Dataset!AH:AH,"deposito",Dataset!T:T,"us$",Dataset!J:J,"&lt;"&amp;$S32/365,Dataset!J:J,"&gt;="&amp;$R32/365)</f>
        <v>0</v>
      </c>
      <c r="W32" s="138">
        <f>SUMIFS(Dataset!AJ:AJ,Dataset!F:F,'renta fija'!$D$11,Dataset!AH:AH,"bono de gobierno",Dataset!T:T,"$",Dataset!J:J,"&lt;"&amp;$S32/365,Dataset!J:J,"&gt;="&amp;$R32/365)</f>
        <v>0</v>
      </c>
      <c r="X32" s="138">
        <f>SUMIFS(Dataset!AJ:AJ,Dataset!F:F,'renta fija'!$D$11,Dataset!AH:AH,"bono de gobierno",Dataset!T:T,"UF",Dataset!J:J,"&lt;"&amp;$S32/365,Dataset!J:J,"&gt;="&amp;$R32/365)</f>
        <v>0</v>
      </c>
      <c r="Y32" s="138">
        <f>SUMIFS(Dataset!AJ:AJ,Dataset!F:F,'renta fija'!$D$11,Dataset!AH:AH,"bono de gobierno",Dataset!T:T,"US$",Dataset!J:J,"&lt;"&amp;$S32/365,Dataset!J:J,"&gt;="&amp;$R32/365)</f>
        <v>0</v>
      </c>
      <c r="Z32" s="138">
        <f>SUMIFS(Dataset!AJ:AJ,Dataset!F:F,'renta fija'!$D$11,Dataset!AH:AH,"bono corporativo",Dataset!T:T,"$",Dataset!J:J,"&lt;"&amp;$S32/365,Dataset!J:J,"&gt;="&amp;$R32/365)</f>
        <v>0</v>
      </c>
      <c r="AA32" s="138">
        <f>SUMIFS(Dataset!AJ:AJ,Dataset!F:F,'renta fija'!$D$11,Dataset!AH:AH,"bono corporativo",Dataset!T:T,"UF",Dataset!J:J,"&lt;"&amp;$S32/365,Dataset!J:J,"&gt;="&amp;$R32/365)</f>
        <v>0</v>
      </c>
      <c r="AB32" s="138">
        <f>SUMIFS(Dataset!AJ:AJ,Dataset!F:F,'renta fija'!$D$11,Dataset!AH:AH,"bono corporativo",Dataset!T:T,"US$",Dataset!J:J,"&lt;"&amp;$S32/365,Dataset!J:J,"&gt;="&amp;$R32/365)</f>
        <v>0</v>
      </c>
      <c r="AC32" s="138">
        <f>SUMIFS(Dataset!AJ:AJ,Dataset!F:F,'renta fija'!$D$11,Dataset!AH:AH,"&lt;&gt;letra hipotecaria",Dataset!AH:AH,"&lt;&gt;bono corporativo",Dataset!AH:AH,"&lt;&gt;deposito",Dataset!AH:AH,"&lt;&gt;bono de gobierno",Dataset!J:J,"&lt;"&amp;$S32/365,Dataset!J:J,"&gt;="&amp;$R32/365)</f>
        <v>0</v>
      </c>
      <c r="AD32" s="142">
        <f t="shared" si="0"/>
        <v>0</v>
      </c>
      <c r="AE32" s="142">
        <f>SUMIFS(Dataset!AQ:AQ,Dataset!F:F,'renta fija'!$D$11,Dataset!J:J,"&lt;"&amp;$S32/365,Dataset!J:J,"&gt;="&amp;$R32/365)</f>
        <v>0</v>
      </c>
      <c r="AF32" s="143">
        <f>IFERROR(SUMIFS(Dataset!AQ:AQ,Dataset!F:F,'renta fija'!$D$11,Dataset!J:J,"&lt;"&amp;$S32/365,Dataset!J:J,"&gt;="&amp;$R32/365)/AD32,0)</f>
        <v>0</v>
      </c>
    </row>
    <row r="33" spans="3:32" ht="62.25" customHeight="1" x14ac:dyDescent="0.8">
      <c r="C33" s="144" t="s">
        <v>62</v>
      </c>
      <c r="D33" s="145">
        <f t="shared" ref="D33:I33" si="1">SUM(D17:D32)</f>
        <v>0</v>
      </c>
      <c r="E33" s="146">
        <f t="shared" si="1"/>
        <v>0</v>
      </c>
      <c r="F33" s="147">
        <f t="shared" si="1"/>
        <v>0</v>
      </c>
      <c r="G33" s="145">
        <f t="shared" si="1"/>
        <v>0</v>
      </c>
      <c r="H33" s="145">
        <f t="shared" si="1"/>
        <v>0</v>
      </c>
      <c r="I33" s="145">
        <f t="shared" si="1"/>
        <v>0</v>
      </c>
      <c r="K33" s="135">
        <v>2</v>
      </c>
      <c r="L33" s="132" t="str">
        <f>IFERROR(INDEX(Dataset!X:X,MATCH(_xlfn.AGGREGATE(14,6,Dataset!AK:AK/(Dataset!F:F=$D$11),K33),Dataset!AK:AK,0),1),"-")</f>
        <v>-</v>
      </c>
      <c r="M33" s="132" t="str">
        <f>IFERROR(INDEX(Dataset!AK:AK,MATCH(_xlfn.AGGREGATE(14,6,Dataset!AK:AK/(Dataset!F:F=$D$11),K33),Dataset!AK:AK,0),1),"-")</f>
        <v>-</v>
      </c>
      <c r="N33" s="132" t="str">
        <f>IFERROR(INDEX(Dataset!I:I,MATCH(_xlfn.AGGREGATE(14,6,Dataset!AK:AK/(Dataset!F:F=$D$11),K33),Dataset!AK:AK,0),1),"-")</f>
        <v>-</v>
      </c>
      <c r="O33" s="132" t="str">
        <f>IFERROR(INDEX(Dataset!AA:AA,MATCH(_xlfn.AGGREGATE(14,6,Dataset!AK:AK/(Dataset!F:F=$D$11),K33),Dataset!AK:AK,0),1),"-")</f>
        <v>-</v>
      </c>
      <c r="P33" s="134" t="str">
        <f>IFERROR(INDEX(Dataset!J:J,MATCH(_xlfn.AGGREGATE(14,6,Dataset!AK:AK/(Dataset!F:F=$D$11),K33),Dataset!AK:AK,0),1),"-")</f>
        <v>-</v>
      </c>
      <c r="R33" s="135">
        <v>240</v>
      </c>
      <c r="S33" s="141">
        <v>255</v>
      </c>
      <c r="T33" s="138">
        <f>SUMIFS(Dataset!AJ:AJ,Dataset!F:F,'renta fija'!$D$11,Dataset!AH:AH,"deposito",Dataset!T:T,"$",Dataset!J:J,"&lt;"&amp;$S33/365,Dataset!J:J,"&gt;="&amp;$R33/365)</f>
        <v>0</v>
      </c>
      <c r="U33" s="138">
        <f>SUMIFS(Dataset!AJ:AJ,Dataset!F:F,'renta fija'!$D$11,Dataset!AH:AH,"deposito",Dataset!T:T,"uf",Dataset!J:J,"&lt;"&amp;$S33/365,Dataset!J:J,"&gt;="&amp;$R33/365)</f>
        <v>0</v>
      </c>
      <c r="V33" s="138">
        <f>SUMIFS(Dataset!AJ:AJ,Dataset!F:F,'renta fija'!$D$11,Dataset!AH:AH,"deposito",Dataset!T:T,"us$",Dataset!J:J,"&lt;"&amp;$S33/365,Dataset!J:J,"&gt;="&amp;$R33/365)</f>
        <v>0</v>
      </c>
      <c r="W33" s="138">
        <f>SUMIFS(Dataset!AJ:AJ,Dataset!F:F,'renta fija'!$D$11,Dataset!AH:AH,"bono de gobierno",Dataset!T:T,"$",Dataset!J:J,"&lt;"&amp;$S33/365,Dataset!J:J,"&gt;="&amp;$R33/365)</f>
        <v>0</v>
      </c>
      <c r="X33" s="138">
        <f>SUMIFS(Dataset!AJ:AJ,Dataset!F:F,'renta fija'!$D$11,Dataset!AH:AH,"bono de gobierno",Dataset!T:T,"UF",Dataset!J:J,"&lt;"&amp;$S33/365,Dataset!J:J,"&gt;="&amp;$R33/365)</f>
        <v>0</v>
      </c>
      <c r="Y33" s="138">
        <f>SUMIFS(Dataset!AJ:AJ,Dataset!F:F,'renta fija'!$D$11,Dataset!AH:AH,"bono de gobierno",Dataset!T:T,"US$",Dataset!J:J,"&lt;"&amp;$S33/365,Dataset!J:J,"&gt;="&amp;$R33/365)</f>
        <v>0</v>
      </c>
      <c r="Z33" s="138">
        <f>SUMIFS(Dataset!AJ:AJ,Dataset!F:F,'renta fija'!$D$11,Dataset!AH:AH,"bono corporativo",Dataset!T:T,"$",Dataset!J:J,"&lt;"&amp;$S33/365,Dataset!J:J,"&gt;="&amp;$R33/365)</f>
        <v>0</v>
      </c>
      <c r="AA33" s="138">
        <f>SUMIFS(Dataset!AJ:AJ,Dataset!F:F,'renta fija'!$D$11,Dataset!AH:AH,"bono corporativo",Dataset!T:T,"UF",Dataset!J:J,"&lt;"&amp;$S33/365,Dataset!J:J,"&gt;="&amp;$R33/365)</f>
        <v>0</v>
      </c>
      <c r="AB33" s="138">
        <f>SUMIFS(Dataset!AJ:AJ,Dataset!F:F,'renta fija'!$D$11,Dataset!AH:AH,"bono corporativo",Dataset!T:T,"US$",Dataset!J:J,"&lt;"&amp;$S33/365,Dataset!J:J,"&gt;="&amp;$R33/365)</f>
        <v>0</v>
      </c>
      <c r="AC33" s="138">
        <f>SUMIFS(Dataset!AJ:AJ,Dataset!F:F,'renta fija'!$D$11,Dataset!AH:AH,"&lt;&gt;letra hipotecaria",Dataset!AH:AH,"&lt;&gt;bono corporativo",Dataset!AH:AH,"&lt;&gt;deposito",Dataset!AH:AH,"&lt;&gt;bono de gobierno",Dataset!J:J,"&lt;"&amp;$S33/365,Dataset!J:J,"&gt;="&amp;$R33/365)</f>
        <v>0</v>
      </c>
      <c r="AD33" s="142">
        <f t="shared" si="0"/>
        <v>0</v>
      </c>
      <c r="AE33" s="142">
        <f>SUMIFS(Dataset!AQ:AQ,Dataset!F:F,'renta fija'!$D$11,Dataset!J:J,"&lt;"&amp;$S33/365,Dataset!J:J,"&gt;="&amp;$R33/365)</f>
        <v>0</v>
      </c>
      <c r="AF33" s="143">
        <f>IFERROR(SUMIFS(Dataset!AQ:AQ,Dataset!F:F,'renta fija'!$D$11,Dataset!J:J,"&lt;"&amp;$S33/365,Dataset!J:J,"&gt;="&amp;$R33/365)/AD33,0)</f>
        <v>0</v>
      </c>
    </row>
    <row r="34" spans="3:32" ht="51" customHeight="1" x14ac:dyDescent="0.8">
      <c r="K34" s="135">
        <v>3</v>
      </c>
      <c r="L34" s="132" t="str">
        <f>IFERROR(INDEX(Dataset!X:X,MATCH(_xlfn.AGGREGATE(14,6,Dataset!AK:AK/(Dataset!F:F=$D$11),K34),Dataset!AK:AK,0),1),"-")</f>
        <v>-</v>
      </c>
      <c r="M34" s="132" t="str">
        <f>IFERROR(INDEX(Dataset!AK:AK,MATCH(_xlfn.AGGREGATE(14,6,Dataset!AK:AK/(Dataset!F:F=$D$11),K34),Dataset!AK:AK,0),1),"-")</f>
        <v>-</v>
      </c>
      <c r="N34" s="132" t="str">
        <f>IFERROR(INDEX(Dataset!I:I,MATCH(_xlfn.AGGREGATE(14,6,Dataset!AK:AK/(Dataset!F:F=$D$11),K34),Dataset!AK:AK,0),1),"-")</f>
        <v>-</v>
      </c>
      <c r="O34" s="132" t="str">
        <f>IFERROR(INDEX(Dataset!AA:AA,MATCH(_xlfn.AGGREGATE(14,6,Dataset!AK:AK/(Dataset!F:F=$D$11),K34),Dataset!AK:AK,0),1),"-")</f>
        <v>-</v>
      </c>
      <c r="P34" s="134" t="str">
        <f>IFERROR(INDEX(Dataset!J:J,MATCH(_xlfn.AGGREGATE(14,6,Dataset!AK:AK/(Dataset!F:F=$D$11),K34),Dataset!AK:AK,0),1),"-")</f>
        <v>-</v>
      </c>
      <c r="R34" s="135">
        <v>255</v>
      </c>
      <c r="S34" s="141">
        <v>270</v>
      </c>
      <c r="T34" s="138">
        <f>SUMIFS(Dataset!AJ:AJ,Dataset!F:F,'renta fija'!$D$11,Dataset!AH:AH,"deposito",Dataset!T:T,"$",Dataset!J:J,"&lt;"&amp;$S34/365,Dataset!J:J,"&gt;="&amp;$R34/365)</f>
        <v>0</v>
      </c>
      <c r="U34" s="138">
        <f>SUMIFS(Dataset!AJ:AJ,Dataset!F:F,'renta fija'!$D$11,Dataset!AH:AH,"deposito",Dataset!T:T,"uf",Dataset!J:J,"&lt;"&amp;$S34/365,Dataset!J:J,"&gt;="&amp;$R34/365)</f>
        <v>0</v>
      </c>
      <c r="V34" s="138">
        <f>SUMIFS(Dataset!AJ:AJ,Dataset!F:F,'renta fija'!$D$11,Dataset!AH:AH,"deposito",Dataset!T:T,"us$",Dataset!J:J,"&lt;"&amp;$S34/365,Dataset!J:J,"&gt;="&amp;$R34/365)</f>
        <v>0</v>
      </c>
      <c r="W34" s="138">
        <f>SUMIFS(Dataset!AJ:AJ,Dataset!F:F,'renta fija'!$D$11,Dataset!AH:AH,"bono de gobierno",Dataset!T:T,"$",Dataset!J:J,"&lt;"&amp;$S34/365,Dataset!J:J,"&gt;="&amp;$R34/365)</f>
        <v>0</v>
      </c>
      <c r="X34" s="138">
        <f>SUMIFS(Dataset!AJ:AJ,Dataset!F:F,'renta fija'!$D$11,Dataset!AH:AH,"bono de gobierno",Dataset!T:T,"UF",Dataset!J:J,"&lt;"&amp;$S34/365,Dataset!J:J,"&gt;="&amp;$R34/365)</f>
        <v>0</v>
      </c>
      <c r="Y34" s="138">
        <f>SUMIFS(Dataset!AJ:AJ,Dataset!F:F,'renta fija'!$D$11,Dataset!AH:AH,"bono de gobierno",Dataset!T:T,"US$",Dataset!J:J,"&lt;"&amp;$S34/365,Dataset!J:J,"&gt;="&amp;$R34/365)</f>
        <v>0</v>
      </c>
      <c r="Z34" s="138">
        <f>SUMIFS(Dataset!AJ:AJ,Dataset!F:F,'renta fija'!$D$11,Dataset!AH:AH,"bono corporativo",Dataset!T:T,"$",Dataset!J:J,"&lt;"&amp;$S34/365,Dataset!J:J,"&gt;="&amp;$R34/365)</f>
        <v>0</v>
      </c>
      <c r="AA34" s="138">
        <f>SUMIFS(Dataset!AJ:AJ,Dataset!F:F,'renta fija'!$D$11,Dataset!AH:AH,"bono corporativo",Dataset!T:T,"UF",Dataset!J:J,"&lt;"&amp;$S34/365,Dataset!J:J,"&gt;="&amp;$R34/365)</f>
        <v>0</v>
      </c>
      <c r="AB34" s="138">
        <f>SUMIFS(Dataset!AJ:AJ,Dataset!F:F,'renta fija'!$D$11,Dataset!AH:AH,"bono corporativo",Dataset!T:T,"US$",Dataset!J:J,"&lt;"&amp;$S34/365,Dataset!J:J,"&gt;="&amp;$R34/365)</f>
        <v>0</v>
      </c>
      <c r="AC34" s="138">
        <f>SUMIFS(Dataset!AJ:AJ,Dataset!F:F,'renta fija'!$D$11,Dataset!AH:AH,"&lt;&gt;letra hipotecaria",Dataset!AH:AH,"&lt;&gt;bono corporativo",Dataset!AH:AH,"&lt;&gt;deposito",Dataset!AH:AH,"&lt;&gt;bono de gobierno",Dataset!J:J,"&lt;"&amp;$S34/365,Dataset!J:J,"&gt;="&amp;$R34/365)</f>
        <v>0</v>
      </c>
      <c r="AD34" s="142">
        <f t="shared" si="0"/>
        <v>0</v>
      </c>
      <c r="AE34" s="142">
        <f>SUMIFS(Dataset!AQ:AQ,Dataset!F:F,'renta fija'!$D$11,Dataset!J:J,"&lt;"&amp;$S34/365,Dataset!J:J,"&gt;="&amp;$R34/365)</f>
        <v>0</v>
      </c>
      <c r="AF34" s="143">
        <f>IFERROR(SUMIFS(Dataset!AQ:AQ,Dataset!F:F,'renta fija'!$D$11,Dataset!J:J,"&lt;"&amp;$S34/365,Dataset!J:J,"&gt;="&amp;$R34/365)/AD34,0)</f>
        <v>0</v>
      </c>
    </row>
    <row r="35" spans="3:32" ht="105" customHeight="1" x14ac:dyDescent="0.8">
      <c r="C35" s="186" t="s">
        <v>222</v>
      </c>
      <c r="D35" s="186"/>
      <c r="E35" s="186"/>
      <c r="F35" s="186"/>
      <c r="G35" s="186"/>
      <c r="H35" s="186"/>
      <c r="K35" s="135">
        <v>4</v>
      </c>
      <c r="L35" s="132" t="str">
        <f>IFERROR(INDEX(Dataset!X:X,MATCH(_xlfn.AGGREGATE(14,6,Dataset!AK:AK/(Dataset!F:F=$D$11),K35),Dataset!AK:AK,0),1),"-")</f>
        <v>-</v>
      </c>
      <c r="M35" s="132" t="str">
        <f>IFERROR(INDEX(Dataset!AK:AK,MATCH(_xlfn.AGGREGATE(14,6,Dataset!AK:AK/(Dataset!F:F=$D$11),K35),Dataset!AK:AK,0),1),"-")</f>
        <v>-</v>
      </c>
      <c r="N35" s="132" t="str">
        <f>IFERROR(INDEX(Dataset!I:I,MATCH(_xlfn.AGGREGATE(14,6,Dataset!AK:AK/(Dataset!F:F=$D$11),K35),Dataset!AK:AK,0),1),"-")</f>
        <v>-</v>
      </c>
      <c r="O35" s="132" t="str">
        <f>IFERROR(INDEX(Dataset!AA:AA,MATCH(_xlfn.AGGREGATE(14,6,Dataset!AK:AK/(Dataset!F:F=$D$11),K35),Dataset!AK:AK,0),1),"-")</f>
        <v>-</v>
      </c>
      <c r="P35" s="134" t="str">
        <f>IFERROR(INDEX(Dataset!J:J,MATCH(_xlfn.AGGREGATE(14,6,Dataset!AK:AK/(Dataset!F:F=$D$11),K35),Dataset!AK:AK,0),1),"-")</f>
        <v>-</v>
      </c>
      <c r="R35" s="135">
        <v>270</v>
      </c>
      <c r="S35" s="141">
        <v>285</v>
      </c>
      <c r="T35" s="138">
        <f>SUMIFS(Dataset!AJ:AJ,Dataset!F:F,'renta fija'!$D$11,Dataset!AH:AH,"deposito",Dataset!T:T,"$",Dataset!J:J,"&lt;"&amp;$S35/365,Dataset!J:J,"&gt;="&amp;$R35/365)</f>
        <v>0</v>
      </c>
      <c r="U35" s="138">
        <f>SUMIFS(Dataset!AJ:AJ,Dataset!F:F,'renta fija'!$D$11,Dataset!AH:AH,"deposito",Dataset!T:T,"uf",Dataset!J:J,"&lt;"&amp;$S35/365,Dataset!J:J,"&gt;="&amp;$R35/365)</f>
        <v>0</v>
      </c>
      <c r="V35" s="138">
        <f>SUMIFS(Dataset!AJ:AJ,Dataset!F:F,'renta fija'!$D$11,Dataset!AH:AH,"deposito",Dataset!T:T,"us$",Dataset!J:J,"&lt;"&amp;$S35/365,Dataset!J:J,"&gt;="&amp;$R35/365)</f>
        <v>0</v>
      </c>
      <c r="W35" s="138">
        <f>SUMIFS(Dataset!AJ:AJ,Dataset!F:F,'renta fija'!$D$11,Dataset!AH:AH,"bono de gobierno",Dataset!T:T,"$",Dataset!J:J,"&lt;"&amp;$S35/365,Dataset!J:J,"&gt;="&amp;$R35/365)</f>
        <v>0</v>
      </c>
      <c r="X35" s="138">
        <f>SUMIFS(Dataset!AJ:AJ,Dataset!F:F,'renta fija'!$D$11,Dataset!AH:AH,"bono de gobierno",Dataset!T:T,"UF",Dataset!J:J,"&lt;"&amp;$S35/365,Dataset!J:J,"&gt;="&amp;$R35/365)</f>
        <v>0</v>
      </c>
      <c r="Y35" s="138">
        <f>SUMIFS(Dataset!AJ:AJ,Dataset!F:F,'renta fija'!$D$11,Dataset!AH:AH,"bono de gobierno",Dataset!T:T,"US$",Dataset!J:J,"&lt;"&amp;$S35/365,Dataset!J:J,"&gt;="&amp;$R35/365)</f>
        <v>0</v>
      </c>
      <c r="Z35" s="138">
        <f>SUMIFS(Dataset!AJ:AJ,Dataset!F:F,'renta fija'!$D$11,Dataset!AH:AH,"bono corporativo",Dataset!T:T,"$",Dataset!J:J,"&lt;"&amp;$S35/365,Dataset!J:J,"&gt;="&amp;$R35/365)</f>
        <v>0</v>
      </c>
      <c r="AA35" s="138">
        <f>SUMIFS(Dataset!AJ:AJ,Dataset!F:F,'renta fija'!$D$11,Dataset!AH:AH,"bono corporativo",Dataset!T:T,"UF",Dataset!J:J,"&lt;"&amp;$S35/365,Dataset!J:J,"&gt;="&amp;$R35/365)</f>
        <v>0</v>
      </c>
      <c r="AB35" s="138">
        <f>SUMIFS(Dataset!AJ:AJ,Dataset!F:F,'renta fija'!$D$11,Dataset!AH:AH,"bono corporativo",Dataset!T:T,"US$",Dataset!J:J,"&lt;"&amp;$S35/365,Dataset!J:J,"&gt;="&amp;$R35/365)</f>
        <v>0</v>
      </c>
      <c r="AC35" s="138">
        <f>SUMIFS(Dataset!AJ:AJ,Dataset!F:F,'renta fija'!$D$11,Dataset!AH:AH,"&lt;&gt;letra hipotecaria",Dataset!AH:AH,"&lt;&gt;bono corporativo",Dataset!AH:AH,"&lt;&gt;deposito",Dataset!AH:AH,"&lt;&gt;bono de gobierno",Dataset!J:J,"&lt;"&amp;$S35/365,Dataset!J:J,"&gt;="&amp;$R35/365)</f>
        <v>0</v>
      </c>
      <c r="AD35" s="142">
        <f t="shared" si="0"/>
        <v>0</v>
      </c>
      <c r="AE35" s="142">
        <f>SUMIFS(Dataset!AQ:AQ,Dataset!F:F,'renta fija'!$D$11,Dataset!J:J,"&lt;"&amp;$S35/365,Dataset!J:J,"&gt;="&amp;$R35/365)</f>
        <v>0</v>
      </c>
      <c r="AF35" s="143">
        <f>IFERROR(SUMIFS(Dataset!AQ:AQ,Dataset!F:F,'renta fija'!$D$11,Dataset!J:J,"&lt;"&amp;$S35/365,Dataset!J:J,"&gt;="&amp;$R35/365)/AD35,0)</f>
        <v>0</v>
      </c>
    </row>
    <row r="36" spans="3:32" ht="66" customHeight="1" x14ac:dyDescent="0.8">
      <c r="K36" s="135">
        <v>5</v>
      </c>
      <c r="L36" s="132" t="str">
        <f>IFERROR(INDEX(Dataset!X:X,MATCH(_xlfn.AGGREGATE(14,6,Dataset!AK:AK/(Dataset!F:F=$D$11),K36),Dataset!AK:AK,0),1),"-")</f>
        <v>-</v>
      </c>
      <c r="M36" s="132" t="str">
        <f>IFERROR(INDEX(Dataset!AK:AK,MATCH(_xlfn.AGGREGATE(14,6,Dataset!AK:AK/(Dataset!F:F=$D$11),K36),Dataset!AK:AK,0),1),"-")</f>
        <v>-</v>
      </c>
      <c r="N36" s="132" t="str">
        <f>IFERROR(INDEX(Dataset!I:I,MATCH(_xlfn.AGGREGATE(14,6,Dataset!AK:AK/(Dataset!F:F=$D$11),K36),Dataset!AK:AK,0),1),"-")</f>
        <v>-</v>
      </c>
      <c r="O36" s="132" t="str">
        <f>IFERROR(INDEX(Dataset!AA:AA,MATCH(_xlfn.AGGREGATE(14,6,Dataset!AK:AK/(Dataset!F:F=$D$11),K36),Dataset!AK:AK,0),1),"-")</f>
        <v>-</v>
      </c>
      <c r="P36" s="134" t="str">
        <f>IFERROR(INDEX(Dataset!J:J,MATCH(_xlfn.AGGREGATE(14,6,Dataset!AK:AK/(Dataset!F:F=$D$11),K36),Dataset!AK:AK,0),1),"-")</f>
        <v>-</v>
      </c>
      <c r="R36" s="135">
        <v>285</v>
      </c>
      <c r="S36" s="141">
        <v>300</v>
      </c>
      <c r="T36" s="138">
        <f>SUMIFS(Dataset!AJ:AJ,Dataset!F:F,'renta fija'!$D$11,Dataset!AH:AH,"deposito",Dataset!T:T,"$",Dataset!J:J,"&lt;"&amp;$S36/365,Dataset!J:J,"&gt;="&amp;$R36/365)</f>
        <v>0</v>
      </c>
      <c r="U36" s="138">
        <f>SUMIFS(Dataset!AJ:AJ,Dataset!F:F,'renta fija'!$D$11,Dataset!AH:AH,"deposito",Dataset!T:T,"uf",Dataset!J:J,"&lt;"&amp;$S36/365,Dataset!J:J,"&gt;="&amp;$R36/365)</f>
        <v>0</v>
      </c>
      <c r="V36" s="138">
        <f>SUMIFS(Dataset!AJ:AJ,Dataset!F:F,'renta fija'!$D$11,Dataset!AH:AH,"deposito",Dataset!T:T,"us$",Dataset!J:J,"&lt;"&amp;$S36/365,Dataset!J:J,"&gt;="&amp;$R36/365)</f>
        <v>0</v>
      </c>
      <c r="W36" s="138">
        <f>SUMIFS(Dataset!AJ:AJ,Dataset!F:F,'renta fija'!$D$11,Dataset!AH:AH,"bono de gobierno",Dataset!T:T,"$",Dataset!J:J,"&lt;"&amp;$S36/365,Dataset!J:J,"&gt;="&amp;$R36/365)</f>
        <v>0</v>
      </c>
      <c r="X36" s="138">
        <f>SUMIFS(Dataset!AJ:AJ,Dataset!F:F,'renta fija'!$D$11,Dataset!AH:AH,"bono de gobierno",Dataset!T:T,"UF",Dataset!J:J,"&lt;"&amp;$S36/365,Dataset!J:J,"&gt;="&amp;$R36/365)</f>
        <v>0</v>
      </c>
      <c r="Y36" s="138">
        <f>SUMIFS(Dataset!AJ:AJ,Dataset!F:F,'renta fija'!$D$11,Dataset!AH:AH,"bono de gobierno",Dataset!T:T,"US$",Dataset!J:J,"&lt;"&amp;$S36/365,Dataset!J:J,"&gt;="&amp;$R36/365)</f>
        <v>0</v>
      </c>
      <c r="Z36" s="138">
        <f>SUMIFS(Dataset!AJ:AJ,Dataset!F:F,'renta fija'!$D$11,Dataset!AH:AH,"bono corporativo",Dataset!T:T,"$",Dataset!J:J,"&lt;"&amp;$S36/365,Dataset!J:J,"&gt;="&amp;$R36/365)</f>
        <v>0</v>
      </c>
      <c r="AA36" s="138">
        <f>SUMIFS(Dataset!AJ:AJ,Dataset!F:F,'renta fija'!$D$11,Dataset!AH:AH,"bono corporativo",Dataset!T:T,"UF",Dataset!J:J,"&lt;"&amp;$S36/365,Dataset!J:J,"&gt;="&amp;$R36/365)</f>
        <v>0</v>
      </c>
      <c r="AB36" s="138">
        <f>SUMIFS(Dataset!AJ:AJ,Dataset!F:F,'renta fija'!$D$11,Dataset!AH:AH,"bono corporativo",Dataset!T:T,"US$",Dataset!J:J,"&lt;"&amp;$S36/365,Dataset!J:J,"&gt;="&amp;$R36/365)</f>
        <v>0</v>
      </c>
      <c r="AC36" s="138">
        <f>SUMIFS(Dataset!AJ:AJ,Dataset!F:F,'renta fija'!$D$11,Dataset!AH:AH,"&lt;&gt;letra hipotecaria",Dataset!AH:AH,"&lt;&gt;bono corporativo",Dataset!AH:AH,"&lt;&gt;deposito",Dataset!AH:AH,"&lt;&gt;bono de gobierno",Dataset!J:J,"&lt;"&amp;$S36/365,Dataset!J:J,"&gt;="&amp;$R36/365)</f>
        <v>0</v>
      </c>
      <c r="AD36" s="142">
        <f t="shared" si="0"/>
        <v>0</v>
      </c>
      <c r="AE36" s="142">
        <f>SUMIFS(Dataset!AQ:AQ,Dataset!F:F,'renta fija'!$D$11,Dataset!J:J,"&lt;"&amp;$S36/365,Dataset!J:J,"&gt;="&amp;$R36/365)</f>
        <v>0</v>
      </c>
      <c r="AF36" s="143">
        <f>IFERROR(SUMIFS(Dataset!AQ:AQ,Dataset!F:F,'renta fija'!$D$11,Dataset!J:J,"&lt;"&amp;$S36/365,Dataset!J:J,"&gt;="&amp;$R36/365)/AD36,0)</f>
        <v>0</v>
      </c>
    </row>
    <row r="37" spans="3:32" ht="72" customHeight="1" x14ac:dyDescent="0.8">
      <c r="C37" s="129" t="s">
        <v>106</v>
      </c>
      <c r="D37" s="130" t="s">
        <v>66</v>
      </c>
      <c r="E37" s="130" t="s">
        <v>71</v>
      </c>
      <c r="F37" s="130" t="s">
        <v>5</v>
      </c>
      <c r="G37" s="130" t="s">
        <v>6</v>
      </c>
      <c r="H37" s="130" t="s">
        <v>21</v>
      </c>
      <c r="K37" s="135">
        <v>6</v>
      </c>
      <c r="L37" s="132" t="str">
        <f>IFERROR(INDEX(Dataset!X:X,MATCH(_xlfn.AGGREGATE(14,6,Dataset!AK:AK/(Dataset!F:F=$D$11),K37),Dataset!AK:AK,0),1),"-")</f>
        <v>-</v>
      </c>
      <c r="M37" s="132" t="str">
        <f>IFERROR(INDEX(Dataset!AK:AK,MATCH(_xlfn.AGGREGATE(14,6,Dataset!AK:AK/(Dataset!F:F=$D$11),K37),Dataset!AK:AK,0),1),"-")</f>
        <v>-</v>
      </c>
      <c r="N37" s="132" t="str">
        <f>IFERROR(INDEX(Dataset!I:I,MATCH(_xlfn.AGGREGATE(14,6,Dataset!AK:AK/(Dataset!F:F=$D$11),K37),Dataset!AK:AK,0),1),"-")</f>
        <v>-</v>
      </c>
      <c r="O37" s="132" t="str">
        <f>IFERROR(INDEX(Dataset!AA:AA,MATCH(_xlfn.AGGREGATE(14,6,Dataset!AK:AK/(Dataset!F:F=$D$11),K37),Dataset!AK:AK,0),1),"-")</f>
        <v>-</v>
      </c>
      <c r="P37" s="134" t="str">
        <f>IFERROR(INDEX(Dataset!J:J,MATCH(_xlfn.AGGREGATE(14,6,Dataset!AK:AK/(Dataset!F:F=$D$11),K37),Dataset!AK:AK,0),1),"-")</f>
        <v>-</v>
      </c>
      <c r="R37" s="135">
        <v>300</v>
      </c>
      <c r="S37" s="141">
        <v>315</v>
      </c>
      <c r="T37" s="138">
        <f>SUMIFS(Dataset!AJ:AJ,Dataset!F:F,'renta fija'!$D$11,Dataset!AH:AH,"deposito",Dataset!T:T,"$",Dataset!J:J,"&lt;"&amp;$S37/365,Dataset!J:J,"&gt;="&amp;$R37/365)</f>
        <v>0</v>
      </c>
      <c r="U37" s="138">
        <f>SUMIFS(Dataset!AJ:AJ,Dataset!F:F,'renta fija'!$D$11,Dataset!AH:AH,"deposito",Dataset!T:T,"uf",Dataset!J:J,"&lt;"&amp;$S37/365,Dataset!J:J,"&gt;="&amp;$R37/365)</f>
        <v>0</v>
      </c>
      <c r="V37" s="138">
        <f>SUMIFS(Dataset!AJ:AJ,Dataset!F:F,'renta fija'!$D$11,Dataset!AH:AH,"deposito",Dataset!T:T,"us$",Dataset!J:J,"&lt;"&amp;$S37/365,Dataset!J:J,"&gt;="&amp;$R37/365)</f>
        <v>0</v>
      </c>
      <c r="W37" s="138">
        <f>SUMIFS(Dataset!AJ:AJ,Dataset!F:F,'renta fija'!$D$11,Dataset!AH:AH,"bono de gobierno",Dataset!T:T,"$",Dataset!J:J,"&lt;"&amp;$S37/365,Dataset!J:J,"&gt;="&amp;$R37/365)</f>
        <v>0</v>
      </c>
      <c r="X37" s="138">
        <f>SUMIFS(Dataset!AJ:AJ,Dataset!F:F,'renta fija'!$D$11,Dataset!AH:AH,"bono de gobierno",Dataset!T:T,"UF",Dataset!J:J,"&lt;"&amp;$S37/365,Dataset!J:J,"&gt;="&amp;$R37/365)</f>
        <v>0</v>
      </c>
      <c r="Y37" s="138">
        <f>SUMIFS(Dataset!AJ:AJ,Dataset!F:F,'renta fija'!$D$11,Dataset!AH:AH,"bono de gobierno",Dataset!T:T,"US$",Dataset!J:J,"&lt;"&amp;$S37/365,Dataset!J:J,"&gt;="&amp;$R37/365)</f>
        <v>0</v>
      </c>
      <c r="Z37" s="138">
        <f>SUMIFS(Dataset!AJ:AJ,Dataset!F:F,'renta fija'!$D$11,Dataset!AH:AH,"bono corporativo",Dataset!T:T,"$",Dataset!J:J,"&lt;"&amp;$S37/365,Dataset!J:J,"&gt;="&amp;$R37/365)</f>
        <v>0</v>
      </c>
      <c r="AA37" s="138">
        <f>SUMIFS(Dataset!AJ:AJ,Dataset!F:F,'renta fija'!$D$11,Dataset!AH:AH,"bono corporativo",Dataset!T:T,"UF",Dataset!J:J,"&lt;"&amp;$S37/365,Dataset!J:J,"&gt;="&amp;$R37/365)</f>
        <v>0</v>
      </c>
      <c r="AB37" s="138">
        <f>SUMIFS(Dataset!AJ:AJ,Dataset!F:F,'renta fija'!$D$11,Dataset!AH:AH,"bono corporativo",Dataset!T:T,"US$",Dataset!J:J,"&lt;"&amp;$S37/365,Dataset!J:J,"&gt;="&amp;$R37/365)</f>
        <v>0</v>
      </c>
      <c r="AC37" s="138">
        <f>SUMIFS(Dataset!AJ:AJ,Dataset!F:F,'renta fija'!$D$11,Dataset!AH:AH,"&lt;&gt;letra hipotecaria",Dataset!AH:AH,"&lt;&gt;bono corporativo",Dataset!AH:AH,"&lt;&gt;deposito",Dataset!AH:AH,"&lt;&gt;bono de gobierno",Dataset!J:J,"&lt;"&amp;$S37/365,Dataset!J:J,"&gt;="&amp;$R37/365)</f>
        <v>0</v>
      </c>
      <c r="AD37" s="142">
        <f t="shared" si="0"/>
        <v>0</v>
      </c>
      <c r="AE37" s="142">
        <f>SUMIFS(Dataset!AQ:AQ,Dataset!F:F,'renta fija'!$D$11,Dataset!J:J,"&lt;"&amp;$S37/365,Dataset!J:J,"&gt;="&amp;$R37/365)</f>
        <v>0</v>
      </c>
      <c r="AF37" s="143">
        <f>IFERROR(SUMIFS(Dataset!AQ:AQ,Dataset!F:F,'renta fija'!$D$11,Dataset!J:J,"&lt;"&amp;$S37/365,Dataset!J:J,"&gt;="&amp;$R37/365)/AD37,0)</f>
        <v>0</v>
      </c>
    </row>
    <row r="38" spans="3:32" ht="72" customHeight="1" x14ac:dyDescent="0.8">
      <c r="C38" s="131" t="s">
        <v>39</v>
      </c>
      <c r="D38" s="132">
        <f>SUMIFS(Dataset!AK:AK,Dataset!F:F,'renta fija'!$D$11,Dataset!T:T,$C38)</f>
        <v>0</v>
      </c>
      <c r="E38" s="133">
        <f>SUMIFS(Dataset!V:V,Dataset!F:F,'renta fija'!$D$11,Dataset!T:T,$C38)/1000000</f>
        <v>0</v>
      </c>
      <c r="F38" s="134">
        <f>SUMIFS(Dataset!H:H,Dataset!F:F,'renta fija'!$D$11,Dataset!T:T,$C38)*365</f>
        <v>0</v>
      </c>
      <c r="G38" s="132">
        <f>SUMIFS(Dataset!I:I,Dataset!F:F,'renta fija'!$D$11,Dataset!T:T,$C38)</f>
        <v>0</v>
      </c>
      <c r="H38" s="132">
        <f>SUMIFS(Dataset!AA:AA,Dataset!F:F,'renta fija'!$D$11,Dataset!T:T,$C38)</f>
        <v>0</v>
      </c>
      <c r="K38" s="135">
        <v>7</v>
      </c>
      <c r="L38" s="132" t="str">
        <f>IFERROR(INDEX(Dataset!X:X,MATCH(_xlfn.AGGREGATE(14,6,Dataset!AK:AK/(Dataset!F:F=$D$11),K38),Dataset!AK:AK,0),1),"-")</f>
        <v>-</v>
      </c>
      <c r="M38" s="132" t="str">
        <f>IFERROR(INDEX(Dataset!AK:AK,MATCH(_xlfn.AGGREGATE(14,6,Dataset!AK:AK/(Dataset!F:F=$D$11),K38),Dataset!AK:AK,0),1),"-")</f>
        <v>-</v>
      </c>
      <c r="N38" s="132" t="str">
        <f>IFERROR(INDEX(Dataset!I:I,MATCH(_xlfn.AGGREGATE(14,6,Dataset!AK:AK/(Dataset!F:F=$D$11),K38),Dataset!AK:AK,0),1),"-")</f>
        <v>-</v>
      </c>
      <c r="O38" s="132" t="str">
        <f>IFERROR(INDEX(Dataset!AA:AA,MATCH(_xlfn.AGGREGATE(14,6,Dataset!AK:AK/(Dataset!F:F=$D$11),K38),Dataset!AK:AK,0),1),"-")</f>
        <v>-</v>
      </c>
      <c r="P38" s="134" t="str">
        <f>IFERROR(INDEX(Dataset!J:J,MATCH(_xlfn.AGGREGATE(14,6,Dataset!AK:AK/(Dataset!F:F=$D$11),K38),Dataset!AK:AK,0),1),"-")</f>
        <v>-</v>
      </c>
      <c r="R38" s="135">
        <v>315</v>
      </c>
      <c r="S38" s="141">
        <v>330</v>
      </c>
      <c r="T38" s="138">
        <f>SUMIFS(Dataset!AJ:AJ,Dataset!F:F,'renta fija'!$D$11,Dataset!AH:AH,"deposito",Dataset!T:T,"$",Dataset!J:J,"&lt;"&amp;$S38/365,Dataset!J:J,"&gt;="&amp;$R38/365)</f>
        <v>0</v>
      </c>
      <c r="U38" s="138">
        <f>SUMIFS(Dataset!AJ:AJ,Dataset!F:F,'renta fija'!$D$11,Dataset!AH:AH,"deposito",Dataset!T:T,"uf",Dataset!J:J,"&lt;"&amp;$S38/365,Dataset!J:J,"&gt;="&amp;$R38/365)</f>
        <v>0</v>
      </c>
      <c r="V38" s="138">
        <f>SUMIFS(Dataset!AJ:AJ,Dataset!F:F,'renta fija'!$D$11,Dataset!AH:AH,"deposito",Dataset!T:T,"us$",Dataset!J:J,"&lt;"&amp;$S38/365,Dataset!J:J,"&gt;="&amp;$R38/365)</f>
        <v>0</v>
      </c>
      <c r="W38" s="138">
        <f>SUMIFS(Dataset!AJ:AJ,Dataset!F:F,'renta fija'!$D$11,Dataset!AH:AH,"bono de gobierno",Dataset!T:T,"$",Dataset!J:J,"&lt;"&amp;$S38/365,Dataset!J:J,"&gt;="&amp;$R38/365)</f>
        <v>0</v>
      </c>
      <c r="X38" s="138">
        <f>SUMIFS(Dataset!AJ:AJ,Dataset!F:F,'renta fija'!$D$11,Dataset!AH:AH,"bono de gobierno",Dataset!T:T,"UF",Dataset!J:J,"&lt;"&amp;$S38/365,Dataset!J:J,"&gt;="&amp;$R38/365)</f>
        <v>0</v>
      </c>
      <c r="Y38" s="138">
        <f>SUMIFS(Dataset!AJ:AJ,Dataset!F:F,'renta fija'!$D$11,Dataset!AH:AH,"bono de gobierno",Dataset!T:T,"US$",Dataset!J:J,"&lt;"&amp;$S38/365,Dataset!J:J,"&gt;="&amp;$R38/365)</f>
        <v>0</v>
      </c>
      <c r="Z38" s="138">
        <f>SUMIFS(Dataset!AJ:AJ,Dataset!F:F,'renta fija'!$D$11,Dataset!AH:AH,"bono corporativo",Dataset!T:T,"$",Dataset!J:J,"&lt;"&amp;$S38/365,Dataset!J:J,"&gt;="&amp;$R38/365)</f>
        <v>0</v>
      </c>
      <c r="AA38" s="138">
        <f>SUMIFS(Dataset!AJ:AJ,Dataset!F:F,'renta fija'!$D$11,Dataset!AH:AH,"bono corporativo",Dataset!T:T,"UF",Dataset!J:J,"&lt;"&amp;$S38/365,Dataset!J:J,"&gt;="&amp;$R38/365)</f>
        <v>0</v>
      </c>
      <c r="AB38" s="138">
        <f>SUMIFS(Dataset!AJ:AJ,Dataset!F:F,'renta fija'!$D$11,Dataset!AH:AH,"bono corporativo",Dataset!T:T,"US$",Dataset!J:J,"&lt;"&amp;$S38/365,Dataset!J:J,"&gt;="&amp;$R38/365)</f>
        <v>0</v>
      </c>
      <c r="AC38" s="138">
        <f>SUMIFS(Dataset!AJ:AJ,Dataset!F:F,'renta fija'!$D$11,Dataset!AH:AH,"&lt;&gt;letra hipotecaria",Dataset!AH:AH,"&lt;&gt;bono corporativo",Dataset!AH:AH,"&lt;&gt;deposito",Dataset!AH:AH,"&lt;&gt;bono de gobierno",Dataset!J:J,"&lt;"&amp;$S38/365,Dataset!J:J,"&gt;="&amp;$R38/365)</f>
        <v>0</v>
      </c>
      <c r="AD38" s="142">
        <f t="shared" si="0"/>
        <v>0</v>
      </c>
      <c r="AE38" s="142">
        <f>SUMIFS(Dataset!AQ:AQ,Dataset!F:F,'renta fija'!$D$11,Dataset!J:J,"&lt;"&amp;$S38/365,Dataset!J:J,"&gt;="&amp;$R38/365)</f>
        <v>0</v>
      </c>
      <c r="AF38" s="143">
        <f>IFERROR(SUMIFS(Dataset!AQ:AQ,Dataset!F:F,'renta fija'!$D$11,Dataset!J:J,"&lt;"&amp;$S38/365,Dataset!J:J,"&gt;="&amp;$R38/365)/AD38,0)</f>
        <v>0</v>
      </c>
    </row>
    <row r="39" spans="3:32" ht="63" customHeight="1" x14ac:dyDescent="0.8">
      <c r="C39" s="131" t="s">
        <v>32</v>
      </c>
      <c r="D39" s="132">
        <f>SUMIFS(Dataset!AK:AK,Dataset!F:F,'renta fija'!$D$11,Dataset!T:T,$C39)</f>
        <v>0</v>
      </c>
      <c r="E39" s="133">
        <f>SUMIFS(Dataset!V:V,Dataset!F:F,'renta fija'!$D$11,Dataset!T:T,$C39)/1000000</f>
        <v>0</v>
      </c>
      <c r="F39" s="134">
        <f>SUMIFS(Dataset!H:H,Dataset!F:F,'renta fija'!$D$11,Dataset!T:T,$C39)*365</f>
        <v>0</v>
      </c>
      <c r="G39" s="132">
        <f>SUMIFS(Dataset!I:I,Dataset!F:F,'renta fija'!$D$11,Dataset!T:T,$C39)</f>
        <v>0</v>
      </c>
      <c r="H39" s="132">
        <f>SUMIFS(Dataset!AA:AA,Dataset!F:F,'renta fija'!$D$11,Dataset!T:T,$C39)</f>
        <v>0</v>
      </c>
      <c r="K39" s="135">
        <v>8</v>
      </c>
      <c r="L39" s="132" t="str">
        <f>IFERROR(INDEX(Dataset!X:X,MATCH(_xlfn.AGGREGATE(14,6,Dataset!AK:AK/(Dataset!F:F=$D$11),K39),Dataset!AK:AK,0),1),"-")</f>
        <v>-</v>
      </c>
      <c r="M39" s="132" t="str">
        <f>IFERROR(INDEX(Dataset!AK:AK,MATCH(_xlfn.AGGREGATE(14,6,Dataset!AK:AK/(Dataset!F:F=$D$11),K39),Dataset!AK:AK,0),1),"-")</f>
        <v>-</v>
      </c>
      <c r="N39" s="132" t="str">
        <f>IFERROR(INDEX(Dataset!I:I,MATCH(_xlfn.AGGREGATE(14,6,Dataset!AK:AK/(Dataset!F:F=$D$11),K39),Dataset!AK:AK,0),1),"-")</f>
        <v>-</v>
      </c>
      <c r="O39" s="132" t="str">
        <f>IFERROR(INDEX(Dataset!AA:AA,MATCH(_xlfn.AGGREGATE(14,6,Dataset!AK:AK/(Dataset!F:F=$D$11),K39),Dataset!AK:AK,0),1),"-")</f>
        <v>-</v>
      </c>
      <c r="P39" s="134" t="str">
        <f>IFERROR(INDEX(Dataset!J:J,MATCH(_xlfn.AGGREGATE(14,6,Dataset!AK:AK/(Dataset!F:F=$D$11),K39),Dataset!AK:AK,0),1),"-")</f>
        <v>-</v>
      </c>
      <c r="R39" s="135">
        <v>330</v>
      </c>
      <c r="S39" s="141">
        <v>345</v>
      </c>
      <c r="T39" s="138">
        <f>SUMIFS(Dataset!AJ:AJ,Dataset!F:F,'renta fija'!$D$11,Dataset!AH:AH,"deposito",Dataset!T:T,"$",Dataset!J:J,"&lt;"&amp;$S39/365,Dataset!J:J,"&gt;="&amp;$R39/365)</f>
        <v>0</v>
      </c>
      <c r="U39" s="138">
        <f>SUMIFS(Dataset!AJ:AJ,Dataset!F:F,'renta fija'!$D$11,Dataset!AH:AH,"deposito",Dataset!T:T,"uf",Dataset!J:J,"&lt;"&amp;$S39/365,Dataset!J:J,"&gt;="&amp;$R39/365)</f>
        <v>0</v>
      </c>
      <c r="V39" s="138">
        <f>SUMIFS(Dataset!AJ:AJ,Dataset!F:F,'renta fija'!$D$11,Dataset!AH:AH,"deposito",Dataset!T:T,"us$",Dataset!J:J,"&lt;"&amp;$S39/365,Dataset!J:J,"&gt;="&amp;$R39/365)</f>
        <v>0</v>
      </c>
      <c r="W39" s="138">
        <f>SUMIFS(Dataset!AJ:AJ,Dataset!F:F,'renta fija'!$D$11,Dataset!AH:AH,"bono de gobierno",Dataset!T:T,"$",Dataset!J:J,"&lt;"&amp;$S39/365,Dataset!J:J,"&gt;="&amp;$R39/365)</f>
        <v>0</v>
      </c>
      <c r="X39" s="138">
        <f>SUMIFS(Dataset!AJ:AJ,Dataset!F:F,'renta fija'!$D$11,Dataset!AH:AH,"bono de gobierno",Dataset!T:T,"UF",Dataset!J:J,"&lt;"&amp;$S39/365,Dataset!J:J,"&gt;="&amp;$R39/365)</f>
        <v>0</v>
      </c>
      <c r="Y39" s="138">
        <f>SUMIFS(Dataset!AJ:AJ,Dataset!F:F,'renta fija'!$D$11,Dataset!AH:AH,"bono de gobierno",Dataset!T:T,"US$",Dataset!J:J,"&lt;"&amp;$S39/365,Dataset!J:J,"&gt;="&amp;$R39/365)</f>
        <v>0</v>
      </c>
      <c r="Z39" s="138">
        <f>SUMIFS(Dataset!AJ:AJ,Dataset!F:F,'renta fija'!$D$11,Dataset!AH:AH,"bono corporativo",Dataset!T:T,"$",Dataset!J:J,"&lt;"&amp;$S39/365,Dataset!J:J,"&gt;="&amp;$R39/365)</f>
        <v>0</v>
      </c>
      <c r="AA39" s="138">
        <f>SUMIFS(Dataset!AJ:AJ,Dataset!F:F,'renta fija'!$D$11,Dataset!AH:AH,"bono corporativo",Dataset!T:T,"UF",Dataset!J:J,"&lt;"&amp;$S39/365,Dataset!J:J,"&gt;="&amp;$R39/365)</f>
        <v>0</v>
      </c>
      <c r="AB39" s="138">
        <f>SUMIFS(Dataset!AJ:AJ,Dataset!F:F,'renta fija'!$D$11,Dataset!AH:AH,"bono corporativo",Dataset!T:T,"US$",Dataset!J:J,"&lt;"&amp;$S39/365,Dataset!J:J,"&gt;="&amp;$R39/365)</f>
        <v>0</v>
      </c>
      <c r="AC39" s="138">
        <f>SUMIFS(Dataset!AJ:AJ,Dataset!F:F,'renta fija'!$D$11,Dataset!AH:AH,"&lt;&gt;letra hipotecaria",Dataset!AH:AH,"&lt;&gt;bono corporativo",Dataset!AH:AH,"&lt;&gt;deposito",Dataset!AH:AH,"&lt;&gt;bono de gobierno",Dataset!J:J,"&lt;"&amp;$S39/365,Dataset!J:J,"&gt;="&amp;$R39/365)</f>
        <v>0</v>
      </c>
      <c r="AD39" s="142">
        <f t="shared" si="0"/>
        <v>0</v>
      </c>
      <c r="AE39" s="142">
        <f>SUMIFS(Dataset!AQ:AQ,Dataset!F:F,'renta fija'!$D$11,Dataset!J:J,"&lt;"&amp;$S39/365,Dataset!J:J,"&gt;="&amp;$R39/365)</f>
        <v>0</v>
      </c>
      <c r="AF39" s="143">
        <f>IFERROR(SUMIFS(Dataset!AQ:AQ,Dataset!F:F,'renta fija'!$D$11,Dataset!J:J,"&lt;"&amp;$S39/365,Dataset!J:J,"&gt;="&amp;$R39/365)/AD39,0)</f>
        <v>0</v>
      </c>
    </row>
    <row r="40" spans="3:32" ht="57" customHeight="1" x14ac:dyDescent="0.8">
      <c r="C40" s="131" t="s">
        <v>30</v>
      </c>
      <c r="D40" s="132">
        <f>SUMIFS(Dataset!AK:AK,Dataset!F:F,'renta fija'!$D$11,Dataset!T:T,$C40)</f>
        <v>0</v>
      </c>
      <c r="E40" s="133">
        <f>SUMIFS(Dataset!V:V,Dataset!F:F,'renta fija'!$D$11,Dataset!T:T,$C40)/1000000</f>
        <v>0</v>
      </c>
      <c r="F40" s="134">
        <f>SUMIFS(Dataset!H:H,Dataset!F:F,'renta fija'!$D$11,Dataset!T:T,$C40)*365</f>
        <v>0</v>
      </c>
      <c r="G40" s="132">
        <f>SUMIFS(Dataset!I:I,Dataset!F:F,'renta fija'!$D$11,Dataset!T:T,$C40)</f>
        <v>0</v>
      </c>
      <c r="H40" s="132">
        <f>SUMIFS(Dataset!AA:AA,Dataset!F:F,'renta fija'!$D$11,Dataset!T:T,$C40)</f>
        <v>0</v>
      </c>
      <c r="K40" s="135">
        <v>9</v>
      </c>
      <c r="L40" s="132" t="str">
        <f>IFERROR(INDEX(Dataset!X:X,MATCH(_xlfn.AGGREGATE(14,6,Dataset!AK:AK/(Dataset!F:F=$D$11),K40),Dataset!AK:AK,0),1),"-")</f>
        <v>-</v>
      </c>
      <c r="M40" s="132" t="str">
        <f>IFERROR(INDEX(Dataset!AK:AK,MATCH(_xlfn.AGGREGATE(14,6,Dataset!AK:AK/(Dataset!F:F=$D$11),K40),Dataset!AK:AK,0),1),"-")</f>
        <v>-</v>
      </c>
      <c r="N40" s="132" t="str">
        <f>IFERROR(INDEX(Dataset!I:I,MATCH(_xlfn.AGGREGATE(14,6,Dataset!AK:AK/(Dataset!F:F=$D$11),K40),Dataset!AK:AK,0),1),"-")</f>
        <v>-</v>
      </c>
      <c r="O40" s="132" t="str">
        <f>IFERROR(INDEX(Dataset!AA:AA,MATCH(_xlfn.AGGREGATE(14,6,Dataset!AK:AK/(Dataset!F:F=$D$11),K40),Dataset!AK:AK,0),1),"-")</f>
        <v>-</v>
      </c>
      <c r="P40" s="134" t="str">
        <f>IFERROR(INDEX(Dataset!J:J,MATCH(_xlfn.AGGREGATE(14,6,Dataset!AK:AK/(Dataset!F:F=$D$11),K40),Dataset!AK:AK,0),1),"-")</f>
        <v>-</v>
      </c>
      <c r="R40" s="135">
        <v>345</v>
      </c>
      <c r="S40" s="141">
        <v>360</v>
      </c>
      <c r="T40" s="138">
        <f>SUMIFS(Dataset!AJ:AJ,Dataset!F:F,'renta fija'!$D$11,Dataset!AH:AH,"deposito",Dataset!T:T,"$",Dataset!J:J,"&lt;"&amp;$S40/365,Dataset!J:J,"&gt;="&amp;$R40/365)</f>
        <v>0</v>
      </c>
      <c r="U40" s="138">
        <f>SUMIFS(Dataset!AJ:AJ,Dataset!F:F,'renta fija'!$D$11,Dataset!AH:AH,"deposito",Dataset!T:T,"uf",Dataset!J:J,"&lt;"&amp;$S40/365,Dataset!J:J,"&gt;="&amp;$R40/365)</f>
        <v>0</v>
      </c>
      <c r="V40" s="138">
        <f>SUMIFS(Dataset!AJ:AJ,Dataset!F:F,'renta fija'!$D$11,Dataset!AH:AH,"deposito",Dataset!T:T,"us$",Dataset!J:J,"&lt;"&amp;$S40/365,Dataset!J:J,"&gt;="&amp;$R40/365)</f>
        <v>0</v>
      </c>
      <c r="W40" s="138">
        <f>SUMIFS(Dataset!AJ:AJ,Dataset!F:F,'renta fija'!$D$11,Dataset!AH:AH,"bono de gobierno",Dataset!T:T,"$",Dataset!J:J,"&lt;"&amp;$S40/365,Dataset!J:J,"&gt;="&amp;$R40/365)</f>
        <v>0</v>
      </c>
      <c r="X40" s="138">
        <f>SUMIFS(Dataset!AJ:AJ,Dataset!F:F,'renta fija'!$D$11,Dataset!AH:AH,"bono de gobierno",Dataset!T:T,"UF",Dataset!J:J,"&lt;"&amp;$S40/365,Dataset!J:J,"&gt;="&amp;$R40/365)</f>
        <v>0</v>
      </c>
      <c r="Y40" s="138">
        <f>SUMIFS(Dataset!AJ:AJ,Dataset!F:F,'renta fija'!$D$11,Dataset!AH:AH,"bono de gobierno",Dataset!T:T,"US$",Dataset!J:J,"&lt;"&amp;$S40/365,Dataset!J:J,"&gt;="&amp;$R40/365)</f>
        <v>0</v>
      </c>
      <c r="Z40" s="138">
        <f>SUMIFS(Dataset!AJ:AJ,Dataset!F:F,'renta fija'!$D$11,Dataset!AH:AH,"bono corporativo",Dataset!T:T,"$",Dataset!J:J,"&lt;"&amp;$S40/365,Dataset!J:J,"&gt;="&amp;$R40/365)</f>
        <v>0</v>
      </c>
      <c r="AA40" s="138">
        <f>SUMIFS(Dataset!AJ:AJ,Dataset!F:F,'renta fija'!$D$11,Dataset!AH:AH,"bono corporativo",Dataset!T:T,"UF",Dataset!J:J,"&lt;"&amp;$S40/365,Dataset!J:J,"&gt;="&amp;$R40/365)</f>
        <v>0</v>
      </c>
      <c r="AB40" s="138">
        <f>SUMIFS(Dataset!AJ:AJ,Dataset!F:F,'renta fija'!$D$11,Dataset!AH:AH,"bono corporativo",Dataset!T:T,"US$",Dataset!J:J,"&lt;"&amp;$S40/365,Dataset!J:J,"&gt;="&amp;$R40/365)</f>
        <v>0</v>
      </c>
      <c r="AC40" s="138">
        <f>SUMIFS(Dataset!AJ:AJ,Dataset!F:F,'renta fija'!$D$11,Dataset!AH:AH,"&lt;&gt;letra hipotecaria",Dataset!AH:AH,"&lt;&gt;bono corporativo",Dataset!AH:AH,"&lt;&gt;deposito",Dataset!AH:AH,"&lt;&gt;bono de gobierno",Dataset!J:J,"&lt;"&amp;$S40/365,Dataset!J:J,"&gt;="&amp;$R40/365)</f>
        <v>0</v>
      </c>
      <c r="AD40" s="142">
        <f t="shared" si="0"/>
        <v>0</v>
      </c>
      <c r="AE40" s="142">
        <f>SUMIFS(Dataset!AQ:AQ,Dataset!F:F,'renta fija'!$D$11,Dataset!J:J,"&lt;"&amp;$S40/365,Dataset!J:J,"&gt;="&amp;$R40/365)</f>
        <v>0</v>
      </c>
      <c r="AF40" s="143">
        <f>IFERROR(SUMIFS(Dataset!AQ:AQ,Dataset!F:F,'renta fija'!$D$11,Dataset!J:J,"&lt;"&amp;$S40/365,Dataset!J:J,"&gt;="&amp;$R40/365)/AD40,0)</f>
        <v>0</v>
      </c>
    </row>
    <row r="41" spans="3:32" ht="63" customHeight="1" x14ac:dyDescent="0.8">
      <c r="C41" s="144" t="s">
        <v>62</v>
      </c>
      <c r="D41" s="145">
        <f>SUM(D38:D40)</f>
        <v>0</v>
      </c>
      <c r="E41" s="146">
        <f>SUM(E38:E40)</f>
        <v>0</v>
      </c>
      <c r="F41" s="147">
        <f>SUM(F38:F40)</f>
        <v>0</v>
      </c>
      <c r="G41" s="145">
        <f>SUM(G38:G40)</f>
        <v>0</v>
      </c>
      <c r="H41" s="145">
        <f>SUM(H38:H40)</f>
        <v>0</v>
      </c>
      <c r="K41" s="135">
        <v>10</v>
      </c>
      <c r="L41" s="132" t="str">
        <f>IFERROR(INDEX(Dataset!X:X,MATCH(_xlfn.AGGREGATE(14,6,Dataset!AK:AK/(Dataset!F:F=$D$11),K41),Dataset!AK:AK,0),1),"-")</f>
        <v>-</v>
      </c>
      <c r="M41" s="132" t="str">
        <f>IFERROR(INDEX(Dataset!AK:AK,MATCH(_xlfn.AGGREGATE(14,6,Dataset!AK:AK/(Dataset!F:F=$D$11),K41),Dataset!AK:AK,0),1),"-")</f>
        <v>-</v>
      </c>
      <c r="N41" s="132" t="str">
        <f>IFERROR(INDEX(Dataset!I:I,MATCH(_xlfn.AGGREGATE(14,6,Dataset!AK:AK/(Dataset!F:F=$D$11),K41),Dataset!AK:AK,0),1),"-")</f>
        <v>-</v>
      </c>
      <c r="O41" s="132" t="str">
        <f>IFERROR(INDEX(Dataset!AA:AA,MATCH(_xlfn.AGGREGATE(14,6,Dataset!AK:AK/(Dataset!F:F=$D$11),K41),Dataset!AK:AK,0),1),"-")</f>
        <v>-</v>
      </c>
      <c r="P41" s="134" t="str">
        <f>IFERROR(INDEX(Dataset!J:J,MATCH(_xlfn.AGGREGATE(14,6,Dataset!AK:AK/(Dataset!F:F=$D$11),K41),Dataset!AK:AK,0),1),"-")</f>
        <v>-</v>
      </c>
      <c r="R41" s="135">
        <v>360</v>
      </c>
      <c r="S41" s="141">
        <v>720</v>
      </c>
      <c r="T41" s="138">
        <f>SUMIFS(Dataset!AJ:AJ,Dataset!F:F,'renta fija'!$D$11,Dataset!AH:AH,"deposito",Dataset!T:T,"$",Dataset!J:J,"&lt;"&amp;$S41/365,Dataset!J:J,"&gt;="&amp;$R41/365)</f>
        <v>0</v>
      </c>
      <c r="U41" s="138">
        <f>SUMIFS(Dataset!AJ:AJ,Dataset!F:F,'renta fija'!$D$11,Dataset!AH:AH,"deposito",Dataset!T:T,"uf",Dataset!J:J,"&lt;"&amp;$S41/365,Dataset!J:J,"&gt;="&amp;$R41/365)</f>
        <v>0</v>
      </c>
      <c r="V41" s="138">
        <f>SUMIFS(Dataset!AJ:AJ,Dataset!F:F,'renta fija'!$D$11,Dataset!AH:AH,"deposito",Dataset!T:T,"us$",Dataset!J:J,"&lt;"&amp;$S41/365,Dataset!J:J,"&gt;="&amp;$R41/365)</f>
        <v>0</v>
      </c>
      <c r="W41" s="138">
        <f>SUMIFS(Dataset!AJ:AJ,Dataset!F:F,'renta fija'!$D$11,Dataset!AH:AH,"bono de gobierno",Dataset!T:T,"$",Dataset!J:J,"&lt;"&amp;$S41/365,Dataset!J:J,"&gt;="&amp;$R41/365)</f>
        <v>0</v>
      </c>
      <c r="X41" s="138">
        <f>SUMIFS(Dataset!AJ:AJ,Dataset!F:F,'renta fija'!$D$11,Dataset!AH:AH,"bono de gobierno",Dataset!T:T,"UF",Dataset!J:J,"&lt;"&amp;$S41/365,Dataset!J:J,"&gt;="&amp;$R41/365)</f>
        <v>0</v>
      </c>
      <c r="Y41" s="138">
        <f>SUMIFS(Dataset!AJ:AJ,Dataset!F:F,'renta fija'!$D$11,Dataset!AH:AH,"bono de gobierno",Dataset!T:T,"US$",Dataset!J:J,"&lt;"&amp;$S41/365,Dataset!J:J,"&gt;="&amp;$R41/365)</f>
        <v>0</v>
      </c>
      <c r="Z41" s="138">
        <f>SUMIFS(Dataset!AJ:AJ,Dataset!F:F,'renta fija'!$D$11,Dataset!AH:AH,"bono corporativo",Dataset!T:T,"$",Dataset!J:J,"&lt;"&amp;$S41/365,Dataset!J:J,"&gt;="&amp;$R41/365)</f>
        <v>0</v>
      </c>
      <c r="AA41" s="138">
        <f>SUMIFS(Dataset!AJ:AJ,Dataset!F:F,'renta fija'!$D$11,Dataset!AH:AH,"bono corporativo",Dataset!T:T,"UF",Dataset!J:J,"&lt;"&amp;$S41/365,Dataset!J:J,"&gt;="&amp;$R41/365)</f>
        <v>0</v>
      </c>
      <c r="AB41" s="138">
        <f>SUMIFS(Dataset!AJ:AJ,Dataset!F:F,'renta fija'!$D$11,Dataset!AH:AH,"bono corporativo",Dataset!T:T,"US$",Dataset!J:J,"&lt;"&amp;$S41/365,Dataset!J:J,"&gt;="&amp;$R41/365)</f>
        <v>0</v>
      </c>
      <c r="AC41" s="138">
        <f>SUMIFS(Dataset!AJ:AJ,Dataset!F:F,'renta fija'!$D$11,Dataset!AH:AH,"&lt;&gt;letra hipotecaria",Dataset!AH:AH,"&lt;&gt;bono corporativo",Dataset!AH:AH,"&lt;&gt;deposito",Dataset!AH:AH,"&lt;&gt;bono de gobierno",Dataset!J:J,"&lt;"&amp;$S41/365,Dataset!J:J,"&gt;="&amp;$R41/365)</f>
        <v>0</v>
      </c>
      <c r="AD41" s="142">
        <f t="shared" si="0"/>
        <v>0</v>
      </c>
      <c r="AE41" s="142">
        <f>SUMIFS(Dataset!AQ:AQ,Dataset!F:F,'renta fija'!$D$11,Dataset!J:J,"&lt;"&amp;$S41/365,Dataset!J:J,"&gt;="&amp;$R41/365)</f>
        <v>0</v>
      </c>
      <c r="AF41" s="143">
        <f>IFERROR(SUMIFS(Dataset!AQ:AQ,Dataset!F:F,'renta fija'!$D$11,Dataset!J:J,"&lt;"&amp;$S41/365,Dataset!J:J,"&gt;="&amp;$R41/365)/AD41,0)</f>
        <v>0</v>
      </c>
    </row>
    <row r="42" spans="3:32" ht="45" customHeight="1" x14ac:dyDescent="0.3">
      <c r="R42" s="135">
        <v>720</v>
      </c>
      <c r="S42" s="141">
        <v>1080</v>
      </c>
      <c r="T42" s="138">
        <f>SUMIFS(Dataset!AJ:AJ,Dataset!F:F,'renta fija'!$D$11,Dataset!AH:AH,"deposito",Dataset!T:T,"$",Dataset!J:J,"&lt;"&amp;$S42/365,Dataset!J:J,"&gt;="&amp;$R42/365)</f>
        <v>0</v>
      </c>
      <c r="U42" s="138">
        <f>SUMIFS(Dataset!AJ:AJ,Dataset!F:F,'renta fija'!$D$11,Dataset!AH:AH,"deposito",Dataset!T:T,"uf",Dataset!J:J,"&lt;"&amp;$S42/365,Dataset!J:J,"&gt;="&amp;$R42/365)</f>
        <v>0</v>
      </c>
      <c r="V42" s="138">
        <f>SUMIFS(Dataset!AJ:AJ,Dataset!F:F,'renta fija'!$D$11,Dataset!AH:AH,"deposito",Dataset!T:T,"us$",Dataset!J:J,"&lt;"&amp;$S42/365,Dataset!J:J,"&gt;="&amp;$R42/365)</f>
        <v>0</v>
      </c>
      <c r="W42" s="138">
        <f>SUMIFS(Dataset!AJ:AJ,Dataset!F:F,'renta fija'!$D$11,Dataset!AH:AH,"bono de gobierno",Dataset!T:T,"$",Dataset!J:J,"&lt;"&amp;$S42/365,Dataset!J:J,"&gt;="&amp;$R42/365)</f>
        <v>0</v>
      </c>
      <c r="X42" s="138">
        <f>SUMIFS(Dataset!AJ:AJ,Dataset!F:F,'renta fija'!$D$11,Dataset!AH:AH,"bono de gobierno",Dataset!T:T,"UF",Dataset!J:J,"&lt;"&amp;$S42/365,Dataset!J:J,"&gt;="&amp;$R42/365)</f>
        <v>0</v>
      </c>
      <c r="Y42" s="138">
        <f>SUMIFS(Dataset!AJ:AJ,Dataset!F:F,'renta fija'!$D$11,Dataset!AH:AH,"bono de gobierno",Dataset!T:T,"US$",Dataset!J:J,"&lt;"&amp;$S42/365,Dataset!J:J,"&gt;="&amp;$R42/365)</f>
        <v>0</v>
      </c>
      <c r="Z42" s="138">
        <f>SUMIFS(Dataset!AJ:AJ,Dataset!F:F,'renta fija'!$D$11,Dataset!AH:AH,"bono corporativo",Dataset!T:T,"$",Dataset!J:J,"&lt;"&amp;$S42/365,Dataset!J:J,"&gt;="&amp;$R42/365)</f>
        <v>0</v>
      </c>
      <c r="AA42" s="138">
        <f>SUMIFS(Dataset!AJ:AJ,Dataset!F:F,'renta fija'!$D$11,Dataset!AH:AH,"bono corporativo",Dataset!T:T,"UF",Dataset!J:J,"&lt;"&amp;$S42/365,Dataset!J:J,"&gt;="&amp;$R42/365)</f>
        <v>0</v>
      </c>
      <c r="AB42" s="138">
        <f>SUMIFS(Dataset!AJ:AJ,Dataset!F:F,'renta fija'!$D$11,Dataset!AH:AH,"bono corporativo",Dataset!T:T,"US$",Dataset!J:J,"&lt;"&amp;$S42/365,Dataset!J:J,"&gt;="&amp;$R42/365)</f>
        <v>0</v>
      </c>
      <c r="AC42" s="138">
        <f>SUMIFS(Dataset!AJ:AJ,Dataset!F:F,'renta fija'!$D$11,Dataset!AH:AH,"&lt;&gt;letra hipotecaria",Dataset!AH:AH,"&lt;&gt;bono corporativo",Dataset!AH:AH,"&lt;&gt;deposito",Dataset!AH:AH,"&lt;&gt;bono de gobierno",Dataset!J:J,"&lt;"&amp;$S42/365,Dataset!J:J,"&gt;="&amp;$R42/365)</f>
        <v>0</v>
      </c>
      <c r="AD42" s="142">
        <f t="shared" si="0"/>
        <v>0</v>
      </c>
      <c r="AE42" s="142">
        <f>SUMIFS(Dataset!AQ:AQ,Dataset!F:F,'renta fija'!$D$11,Dataset!J:J,"&lt;"&amp;$S42/365,Dataset!J:J,"&gt;="&amp;$R42/365)</f>
        <v>0</v>
      </c>
      <c r="AF42" s="143">
        <f>IFERROR(SUMIFS(Dataset!AQ:AQ,Dataset!F:F,'renta fija'!$D$11,Dataset!J:J,"&lt;"&amp;$S42/365,Dataset!J:J,"&gt;="&amp;$R42/365)/AD42,0)</f>
        <v>0</v>
      </c>
    </row>
    <row r="43" spans="3:32" ht="82.5" customHeight="1" x14ac:dyDescent="0.3">
      <c r="R43" s="135">
        <v>1080</v>
      </c>
      <c r="S43" s="141">
        <v>3600</v>
      </c>
      <c r="T43" s="138">
        <f>SUMIFS(Dataset!AJ:AJ,Dataset!F:F,'renta fija'!$D$11,Dataset!AH:AH,"deposito",Dataset!T:T,"$",Dataset!J:J,"&lt;"&amp;$S43/365,Dataset!J:J,"&gt;="&amp;$R43/365)</f>
        <v>0</v>
      </c>
      <c r="U43" s="138">
        <f>SUMIFS(Dataset!AJ:AJ,Dataset!F:F,'renta fija'!$D$11,Dataset!AH:AH,"deposito",Dataset!T:T,"uf",Dataset!J:J,"&lt;"&amp;$S43/365,Dataset!J:J,"&gt;="&amp;$R43/365)</f>
        <v>0</v>
      </c>
      <c r="V43" s="138">
        <f>SUMIFS(Dataset!AJ:AJ,Dataset!F:F,'renta fija'!$D$11,Dataset!AH:AH,"deposito",Dataset!T:T,"us$",Dataset!J:J,"&lt;"&amp;$S43/365,Dataset!J:J,"&gt;="&amp;$R43/365)</f>
        <v>0</v>
      </c>
      <c r="W43" s="138">
        <f>SUMIFS(Dataset!AJ:AJ,Dataset!F:F,'renta fija'!$D$11,Dataset!AH:AH,"bono de gobierno",Dataset!T:T,"$",Dataset!J:J,"&lt;"&amp;$S43/365,Dataset!J:J,"&gt;="&amp;$R43/365)</f>
        <v>0</v>
      </c>
      <c r="X43" s="138">
        <f>SUMIFS(Dataset!AJ:AJ,Dataset!F:F,'renta fija'!$D$11,Dataset!AH:AH,"bono de gobierno",Dataset!T:T,"UF",Dataset!J:J,"&lt;"&amp;$S43/365,Dataset!J:J,"&gt;="&amp;$R43/365)</f>
        <v>0</v>
      </c>
      <c r="Y43" s="138">
        <f>SUMIFS(Dataset!AJ:AJ,Dataset!F:F,'renta fija'!$D$11,Dataset!AH:AH,"bono de gobierno",Dataset!T:T,"US$",Dataset!J:J,"&lt;"&amp;$S43/365,Dataset!J:J,"&gt;="&amp;$R43/365)</f>
        <v>0</v>
      </c>
      <c r="Z43" s="138">
        <f>SUMIFS(Dataset!AJ:AJ,Dataset!F:F,'renta fija'!$D$11,Dataset!AH:AH,"bono corporativo",Dataset!T:T,"$",Dataset!J:J,"&lt;"&amp;$S43/365,Dataset!J:J,"&gt;="&amp;$R43/365)</f>
        <v>0</v>
      </c>
      <c r="AA43" s="138">
        <f>SUMIFS(Dataset!AJ:AJ,Dataset!F:F,'renta fija'!$D$11,Dataset!AH:AH,"bono corporativo",Dataset!T:T,"UF",Dataset!J:J,"&lt;"&amp;$S43/365,Dataset!J:J,"&gt;="&amp;$R43/365)</f>
        <v>0</v>
      </c>
      <c r="AB43" s="138">
        <f>SUMIFS(Dataset!AJ:AJ,Dataset!F:F,'renta fija'!$D$11,Dataset!AH:AH,"bono corporativo",Dataset!T:T,"US$",Dataset!J:J,"&lt;"&amp;$S43/365,Dataset!J:J,"&gt;="&amp;$R43/365)</f>
        <v>0</v>
      </c>
      <c r="AC43" s="138">
        <f>SUMIFS(Dataset!AJ:AJ,Dataset!F:F,'renta fija'!$D$11,Dataset!AH:AH,"&lt;&gt;letra hipotecaria",Dataset!AH:AH,"&lt;&gt;bono corporativo",Dataset!AH:AH,"&lt;&gt;deposito",Dataset!AH:AH,"&lt;&gt;bono de gobierno",Dataset!J:J,"&lt;"&amp;$S43/365,Dataset!J:J,"&gt;="&amp;$R43/365)</f>
        <v>0</v>
      </c>
      <c r="AD43" s="142">
        <f t="shared" si="0"/>
        <v>0</v>
      </c>
      <c r="AE43" s="142">
        <f>SUMIFS(Dataset!AQ:AQ,Dataset!F:F,'renta fija'!$D$11,Dataset!J:J,"&lt;"&amp;$S43/365,Dataset!J:J,"&gt;="&amp;$R43/365)</f>
        <v>0</v>
      </c>
      <c r="AF43" s="143">
        <f>IFERROR(SUMIFS(Dataset!AQ:AQ,Dataset!F:F,'renta fija'!$D$11,Dataset!J:J,"&lt;"&amp;$S43/365,Dataset!J:J,"&gt;="&amp;$R43/365)/AD43,0)</f>
        <v>0</v>
      </c>
    </row>
    <row r="44" spans="3:32" ht="48" customHeight="1" x14ac:dyDescent="0.3">
      <c r="R44" s="135">
        <v>3600</v>
      </c>
      <c r="S44" s="148">
        <v>10000</v>
      </c>
      <c r="T44" s="138">
        <f>SUMIFS(Dataset!AJ:AJ,Dataset!F:F,'renta fija'!$D$11,Dataset!AH:AH,"deposito",Dataset!T:T,"$",Dataset!J:J,"&lt;"&amp;$S44/365,Dataset!J:J,"&gt;="&amp;$R44/365)</f>
        <v>0</v>
      </c>
      <c r="U44" s="138">
        <f>SUMIFS(Dataset!AJ:AJ,Dataset!F:F,'renta fija'!$D$11,Dataset!AH:AH,"deposito",Dataset!T:T,"uf",Dataset!J:J,"&lt;"&amp;$S44/365,Dataset!J:J,"&gt;="&amp;$R44/365)</f>
        <v>0</v>
      </c>
      <c r="V44" s="138">
        <f>SUMIFS(Dataset!AJ:AJ,Dataset!F:F,'renta fija'!$D$11,Dataset!AH:AH,"deposito",Dataset!T:T,"us$",Dataset!J:J,"&lt;"&amp;$S44/365,Dataset!J:J,"&gt;="&amp;$R44/365)</f>
        <v>0</v>
      </c>
      <c r="W44" s="138">
        <f>SUMIFS(Dataset!AJ:AJ,Dataset!F:F,'renta fija'!$D$11,Dataset!AH:AH,"bono de gobierno",Dataset!T:T,"$",Dataset!J:J,"&lt;"&amp;$S44/365,Dataset!J:J,"&gt;="&amp;$R44/365)</f>
        <v>0</v>
      </c>
      <c r="X44" s="138">
        <f>SUMIFS(Dataset!AJ:AJ,Dataset!F:F,'renta fija'!$D$11,Dataset!AH:AH,"bono de gobierno",Dataset!T:T,"UF",Dataset!J:J,"&lt;"&amp;$S44/365,Dataset!J:J,"&gt;="&amp;$R44/365)</f>
        <v>0</v>
      </c>
      <c r="Y44" s="138">
        <f>SUMIFS(Dataset!AJ:AJ,Dataset!F:F,'renta fija'!$D$11,Dataset!AH:AH,"bono de gobierno",Dataset!T:T,"US$",Dataset!J:J,"&lt;"&amp;$S44/365,Dataset!J:J,"&gt;="&amp;$R44/365)</f>
        <v>0</v>
      </c>
      <c r="Z44" s="138">
        <f>SUMIFS(Dataset!AJ:AJ,Dataset!F:F,'renta fija'!$D$11,Dataset!AH:AH,"bono corporativo",Dataset!T:T,"$",Dataset!J:J,"&lt;"&amp;$S44/365,Dataset!J:J,"&gt;="&amp;$R44/365)</f>
        <v>0</v>
      </c>
      <c r="AA44" s="138">
        <f>SUMIFS(Dataset!AJ:AJ,Dataset!F:F,'renta fija'!$D$11,Dataset!AH:AH,"bono corporativo",Dataset!T:T,"UF",Dataset!J:J,"&lt;"&amp;$S44/365,Dataset!J:J,"&gt;="&amp;$R44/365)</f>
        <v>0</v>
      </c>
      <c r="AB44" s="138">
        <f>SUMIFS(Dataset!AJ:AJ,Dataset!F:F,'renta fija'!$D$11,Dataset!AH:AH,"bono corporativo",Dataset!T:T,"US$",Dataset!J:J,"&lt;"&amp;$S44/365,Dataset!J:J,"&gt;="&amp;$R44/365)</f>
        <v>0</v>
      </c>
      <c r="AC44" s="138">
        <f>SUMIFS(Dataset!AJ:AJ,Dataset!F:F,'renta fija'!$D$11,Dataset!AH:AH,"&lt;&gt;letra hipotecaria",Dataset!AH:AH,"&lt;&gt;bono corporativo",Dataset!AH:AH,"&lt;&gt;deposito",Dataset!AH:AH,"&lt;&gt;bono de gobierno",Dataset!J:J,"&lt;"&amp;$S44/365,Dataset!J:J,"&gt;="&amp;$R44/365)</f>
        <v>0</v>
      </c>
      <c r="AD44" s="149">
        <f t="shared" si="0"/>
        <v>0</v>
      </c>
      <c r="AE44" s="149">
        <f>SUMIFS(Dataset!AQ:AQ,Dataset!F:F,'renta fija'!$D$11,Dataset!J:J,"&lt;"&amp;$S44/365,Dataset!J:J,"&gt;="&amp;$R44/365)</f>
        <v>0</v>
      </c>
      <c r="AF44" s="150">
        <f>IFERROR(SUMIFS(Dataset!AQ:AQ,Dataset!F:F,'renta fija'!$D$11,Dataset!J:J,"&lt;"&amp;$S44/365,Dataset!J:J,"&gt;="&amp;$R44/365)/AD44,0)</f>
        <v>0</v>
      </c>
    </row>
    <row r="45" spans="3:32" ht="75" customHeight="1" x14ac:dyDescent="0.3">
      <c r="R45" s="187"/>
      <c r="S45" s="188"/>
      <c r="T45" s="151">
        <f>SUM(T17:T44)</f>
        <v>0</v>
      </c>
      <c r="U45" s="151">
        <f>SUM(U17:U44)</f>
        <v>0</v>
      </c>
      <c r="V45" s="151">
        <f>SUM(V17:V44)</f>
        <v>0</v>
      </c>
      <c r="W45" s="151">
        <f t="shared" ref="W45:AC45" si="2">SUM(W17:W44)</f>
        <v>0</v>
      </c>
      <c r="X45" s="151">
        <f t="shared" si="2"/>
        <v>0</v>
      </c>
      <c r="Y45" s="151">
        <f t="shared" si="2"/>
        <v>0</v>
      </c>
      <c r="Z45" s="151">
        <f t="shared" si="2"/>
        <v>0</v>
      </c>
      <c r="AA45" s="151">
        <f t="shared" si="2"/>
        <v>0</v>
      </c>
      <c r="AB45" s="151">
        <f t="shared" si="2"/>
        <v>0</v>
      </c>
      <c r="AC45" s="152">
        <f t="shared" si="2"/>
        <v>0</v>
      </c>
      <c r="AD45" s="153">
        <f>SUM(AD17:AD44)</f>
        <v>0</v>
      </c>
      <c r="AE45" s="153">
        <f>SUM(AE17:AE44)</f>
        <v>0</v>
      </c>
      <c r="AF45" s="153">
        <f>SUM(AF17:AF44)</f>
        <v>0</v>
      </c>
    </row>
    <row r="46" spans="3:32" ht="75" customHeight="1" x14ac:dyDescent="0.3"/>
    <row r="47" spans="3:32" ht="75" customHeight="1" x14ac:dyDescent="0.3"/>
    <row r="48" spans="3:32" ht="75" customHeight="1" x14ac:dyDescent="0.3"/>
    <row r="49" ht="75" customHeight="1" x14ac:dyDescent="0.3"/>
    <row r="50" ht="75" customHeight="1" x14ac:dyDescent="0.3"/>
    <row r="51" ht="75" customHeight="1" x14ac:dyDescent="0.3"/>
    <row r="52" ht="75" customHeight="1" x14ac:dyDescent="0.3"/>
    <row r="53" ht="75" customHeight="1" x14ac:dyDescent="0.3"/>
    <row r="54" ht="75" customHeight="1" x14ac:dyDescent="0.3"/>
    <row r="55" ht="75" customHeight="1" x14ac:dyDescent="0.3"/>
    <row r="57" ht="33" customHeight="1" x14ac:dyDescent="0.3"/>
    <row r="58" ht="89.25" customHeight="1" x14ac:dyDescent="0.3"/>
    <row r="59" ht="33" customHeight="1" x14ac:dyDescent="0.3"/>
    <row r="60" ht="57" customHeight="1" x14ac:dyDescent="0.3"/>
    <row r="61" ht="57" customHeight="1" x14ac:dyDescent="0.3"/>
    <row r="62" ht="57" customHeight="1" x14ac:dyDescent="0.3"/>
    <row r="63" ht="57" customHeight="1" x14ac:dyDescent="0.3"/>
    <row r="64" ht="57" customHeight="1" x14ac:dyDescent="0.3"/>
    <row r="65" ht="57" customHeight="1" x14ac:dyDescent="0.3"/>
    <row r="66" ht="57" customHeight="1" x14ac:dyDescent="0.3"/>
    <row r="67" ht="57" customHeight="1" x14ac:dyDescent="0.3"/>
    <row r="68" ht="57" customHeight="1" x14ac:dyDescent="0.3"/>
    <row r="69" ht="57" customHeight="1" x14ac:dyDescent="0.3"/>
    <row r="70" ht="57" customHeight="1" x14ac:dyDescent="0.3"/>
    <row r="73" ht="94.5" customHeight="1" x14ac:dyDescent="0.3"/>
    <row r="74" ht="30" customHeight="1" x14ac:dyDescent="0.3"/>
    <row r="75" ht="48" customHeight="1" x14ac:dyDescent="0.3"/>
    <row r="76" ht="48" customHeight="1" x14ac:dyDescent="0.3"/>
    <row r="77" ht="48" customHeight="1" x14ac:dyDescent="0.3"/>
    <row r="78" ht="48" customHeight="1" x14ac:dyDescent="0.3"/>
    <row r="79" ht="48" customHeight="1" x14ac:dyDescent="0.3"/>
    <row r="80" ht="48" customHeight="1" x14ac:dyDescent="0.3"/>
    <row r="81" ht="48" customHeight="1" x14ac:dyDescent="0.3"/>
    <row r="82" ht="48" customHeight="1" x14ac:dyDescent="0.3"/>
    <row r="83" ht="48" customHeight="1" x14ac:dyDescent="0.3"/>
    <row r="84" ht="48" customHeight="1" x14ac:dyDescent="0.3"/>
    <row r="85" ht="48" customHeight="1" x14ac:dyDescent="0.3"/>
    <row r="86" ht="48" customHeight="1" x14ac:dyDescent="0.3"/>
    <row r="87" ht="48" customHeight="1" x14ac:dyDescent="0.3"/>
    <row r="88" ht="48" customHeight="1" x14ac:dyDescent="0.3"/>
    <row r="89" ht="48" customHeight="1" x14ac:dyDescent="0.3"/>
    <row r="90" ht="48" customHeight="1" x14ac:dyDescent="0.3"/>
    <row r="91" ht="48" customHeight="1" x14ac:dyDescent="0.3"/>
    <row r="92" ht="48" customHeight="1" x14ac:dyDescent="0.3"/>
    <row r="93" ht="48" customHeight="1" x14ac:dyDescent="0.3"/>
    <row r="94" ht="48" customHeight="1" x14ac:dyDescent="0.3"/>
    <row r="95" ht="48" customHeight="1" x14ac:dyDescent="0.3"/>
    <row r="96" ht="48" customHeight="1" x14ac:dyDescent="0.3"/>
    <row r="97" spans="3:32" ht="48" customHeight="1" x14ac:dyDescent="0.3"/>
    <row r="98" spans="3:32" ht="48" customHeight="1" x14ac:dyDescent="0.3"/>
    <row r="99" spans="3:32" ht="48" customHeight="1" x14ac:dyDescent="0.3"/>
    <row r="100" spans="3:32" ht="48" customHeight="1" x14ac:dyDescent="0.3"/>
    <row r="101" spans="3:32" ht="48" customHeight="1" x14ac:dyDescent="0.3"/>
    <row r="102" spans="3:32" ht="48" customHeight="1" x14ac:dyDescent="0.3"/>
    <row r="103" spans="3:32" ht="48" customHeight="1" x14ac:dyDescent="0.3"/>
    <row r="104" spans="3:32" ht="48" customHeight="1" x14ac:dyDescent="0.3"/>
    <row r="105" spans="3:32" ht="48" customHeight="1" x14ac:dyDescent="0.3"/>
    <row r="106" spans="3:32" ht="48" customHeight="1" x14ac:dyDescent="0.3"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</row>
    <row r="107" spans="3:32" ht="27" customHeight="1" x14ac:dyDescent="0.4">
      <c r="C107" s="107" t="s">
        <v>70</v>
      </c>
      <c r="D107" s="42"/>
      <c r="E107" s="42"/>
    </row>
  </sheetData>
  <mergeCells count="9">
    <mergeCell ref="K29:P29"/>
    <mergeCell ref="C35:H35"/>
    <mergeCell ref="R45:S45"/>
    <mergeCell ref="R16:S16"/>
    <mergeCell ref="C3:AF3"/>
    <mergeCell ref="C4:AF4"/>
    <mergeCell ref="C14:I14"/>
    <mergeCell ref="K14:P14"/>
    <mergeCell ref="R14:AF14"/>
  </mergeCells>
  <conditionalFormatting sqref="T17:V44">
    <cfRule type="colorScale" priority="977">
      <colorScale>
        <cfvo type="min"/>
        <cfvo type="max"/>
        <color theme="0"/>
        <color theme="4" tint="0.59999389629810485"/>
      </colorScale>
    </cfRule>
  </conditionalFormatting>
  <conditionalFormatting sqref="T17:AC44">
    <cfRule type="colorScale" priority="978">
      <colorScale>
        <cfvo type="min"/>
        <cfvo type="max"/>
        <color theme="0"/>
        <color theme="5" tint="0.59999389629810485"/>
      </colorScale>
    </cfRule>
  </conditionalFormatting>
  <conditionalFormatting sqref="AD17:AD44">
    <cfRule type="colorScale" priority="5">
      <colorScale>
        <cfvo type="min"/>
        <cfvo type="max"/>
        <color theme="0"/>
        <color theme="5" tint="0.59999389629810485"/>
      </colorScale>
    </cfRule>
  </conditionalFormatting>
  <conditionalFormatting sqref="AE17:AE44">
    <cfRule type="colorScale" priority="2">
      <colorScale>
        <cfvo type="min"/>
        <cfvo type="max"/>
        <color theme="0"/>
        <color theme="5" tint="0.59999389629810485"/>
      </colorScale>
    </cfRule>
  </conditionalFormatting>
  <conditionalFormatting sqref="AF17:AF44">
    <cfRule type="colorScale" priority="1">
      <colorScale>
        <cfvo type="min"/>
        <cfvo type="max"/>
        <color theme="0"/>
        <color theme="5" tint="0.59999389629810485"/>
      </colorScale>
    </cfRule>
  </conditionalFormatting>
  <printOptions horizontalCentered="1"/>
  <pageMargins left="0" right="0" top="0" bottom="0" header="0" footer="0"/>
  <pageSetup scale="1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499984740745262"/>
    <pageSetUpPr fitToPage="1"/>
  </sheetPr>
  <dimension ref="A1:P114"/>
  <sheetViews>
    <sheetView showGridLines="0" zoomScale="25" zoomScaleNormal="25" workbookViewId="0">
      <selection activeCell="B5" sqref="B5"/>
    </sheetView>
  </sheetViews>
  <sheetFormatPr baseColWidth="10" defaultRowHeight="14.25" x14ac:dyDescent="0.2"/>
  <cols>
    <col min="1" max="1" width="11" customWidth="1"/>
    <col min="2" max="2" width="18.5" customWidth="1"/>
    <col min="3" max="3" width="44.125" customWidth="1"/>
    <col min="4" max="4" width="37.625" customWidth="1"/>
    <col min="5" max="5" width="28.125" customWidth="1"/>
    <col min="6" max="6" width="26.375" customWidth="1"/>
    <col min="7" max="7" width="27.625" customWidth="1"/>
    <col min="8" max="8" width="33.25" customWidth="1"/>
    <col min="10" max="10" width="17.875" customWidth="1"/>
    <col min="11" max="11" width="42.625" customWidth="1"/>
    <col min="12" max="12" width="23.625" customWidth="1"/>
    <col min="13" max="13" width="32.625" customWidth="1"/>
    <col min="14" max="14" width="28.875" customWidth="1"/>
    <col min="15" max="15" width="27.375" customWidth="1"/>
    <col min="16" max="16" width="28.25" customWidth="1"/>
  </cols>
  <sheetData>
    <row r="1" spans="1:16" ht="15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5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61.5" x14ac:dyDescent="0.25">
      <c r="A3" s="9"/>
      <c r="B3" s="193" t="s">
        <v>220</v>
      </c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</row>
    <row r="4" spans="1:16" ht="36" x14ac:dyDescent="0.25">
      <c r="A4" s="9"/>
      <c r="B4" s="194" t="str">
        <f>TEXT(Historical!H2," mmmm dd, aaaa")</f>
        <v xml:space="preserve"> marzo 06, martes</v>
      </c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</row>
    <row r="11" spans="1:16" ht="61.5" x14ac:dyDescent="0.9">
      <c r="D11" s="16" t="s">
        <v>100</v>
      </c>
    </row>
    <row r="14" spans="1:16" ht="21" customHeight="1" x14ac:dyDescent="0.2">
      <c r="I14" s="2"/>
      <c r="P14" s="2"/>
    </row>
    <row r="15" spans="1:16" ht="21" customHeight="1" x14ac:dyDescent="0.2"/>
    <row r="16" spans="1:16" ht="29.25" customHeight="1" x14ac:dyDescent="0.2"/>
    <row r="17" spans="2:16" ht="29.25" customHeight="1" x14ac:dyDescent="0.2">
      <c r="B17" s="192" t="s">
        <v>117</v>
      </c>
      <c r="C17" s="192"/>
      <c r="D17" s="192"/>
      <c r="E17" s="192"/>
      <c r="F17" s="192"/>
      <c r="G17" s="192"/>
      <c r="H17" s="192"/>
      <c r="J17" s="192" t="s">
        <v>239</v>
      </c>
      <c r="K17" s="192"/>
      <c r="L17" s="192"/>
      <c r="M17" s="192"/>
      <c r="N17" s="192"/>
      <c r="O17" s="192"/>
      <c r="P17" s="192"/>
    </row>
    <row r="18" spans="2:16" ht="29.25" customHeight="1" x14ac:dyDescent="0.2"/>
    <row r="19" spans="2:16" ht="29.25" customHeight="1" x14ac:dyDescent="0.2">
      <c r="B19" s="11"/>
      <c r="C19" s="11" t="s">
        <v>82</v>
      </c>
      <c r="D19" s="11" t="s">
        <v>66</v>
      </c>
      <c r="E19" s="11" t="s">
        <v>6</v>
      </c>
      <c r="F19" s="11" t="s">
        <v>67</v>
      </c>
      <c r="G19" s="11" t="s">
        <v>21</v>
      </c>
      <c r="H19" s="11" t="s">
        <v>221</v>
      </c>
      <c r="J19" s="11"/>
      <c r="K19" s="11" t="s">
        <v>82</v>
      </c>
      <c r="L19" s="11" t="s">
        <v>66</v>
      </c>
      <c r="M19" s="11" t="s">
        <v>6</v>
      </c>
      <c r="N19" s="11" t="s">
        <v>67</v>
      </c>
      <c r="O19" s="11" t="s">
        <v>21</v>
      </c>
      <c r="P19" s="11" t="s">
        <v>221</v>
      </c>
    </row>
    <row r="20" spans="2:16" ht="29.25" customHeight="1" x14ac:dyDescent="0.5">
      <c r="B20" s="12">
        <v>1</v>
      </c>
      <c r="C20" s="17" t="str">
        <f>IFERROR(INDEX(Dataset!G:G,MATCH(_xlfn.AGGREGATE(14,6,Dataset!AK:AK/(Dataset!F:F=$D$11),B20),Dataset!AK:AK,0),1),"-")</f>
        <v>-</v>
      </c>
      <c r="D20" s="17" t="str">
        <f>IFERROR(INDEX(Dataset!AK:AK,MATCH(_xlfn.AGGREGATE(14,6,Dataset!AK:AK/(Dataset!F:F=$D$11),B20),Dataset!AK:AK,0),1),"-")</f>
        <v>-</v>
      </c>
      <c r="E20" s="17" t="str">
        <f>IFERROR(INDEX(Dataset!I:I,MATCH(_xlfn.AGGREGATE(14,6,Dataset!AK:AK/(Dataset!F:F=$D$11),B20),Dataset!AK:AK,0),1),"-")</f>
        <v>-</v>
      </c>
      <c r="F20" s="17" t="e">
        <f>IFERROR(INDEX(Dataset!R:R,MATCH(_xlfn.AGGREGATE(14,6,Dataset!AK:AK/(Dataset!F:F=$D$11),B20),Dataset!AK:AK,0),1),"-")/100</f>
        <v>#VALUE!</v>
      </c>
      <c r="G20" s="17" t="str">
        <f>IFERROR(INDEX(Dataset!AA:AA,MATCH(_xlfn.AGGREGATE(14,6,Dataset!AK:AK/(Dataset!F:F=$D$11),B20),Dataset!AK:AK,0),1),"-")</f>
        <v>-</v>
      </c>
      <c r="H20" s="18" t="str">
        <f>IFERROR(INDEX(Dataset!AJ:AJ,MATCH(_xlfn.AGGREGATE(14,6,Dataset!AK:AK/(Dataset!F:F=$D$11),B20),Dataset!AK:AK,0),1),"-")</f>
        <v>-</v>
      </c>
      <c r="J20" s="12">
        <v>1</v>
      </c>
      <c r="K20" s="17" t="str">
        <f>IFERROR(INDEX(Dataset!G:G,MATCH(_xlfn.AGGREGATE(14,6,Dataset!I:I/(Dataset!F:F=$D$11),J20),Dataset!I:I,0),1),"-")</f>
        <v>-</v>
      </c>
      <c r="L20" s="17" t="str">
        <f>IFERROR(INDEX(Dataset!AK:AK,MATCH(_xlfn.AGGREGATE(14,6,Dataset!I:I/(Dataset!F:F=$D$11),J20),Dataset!I:I,0),1),"-")</f>
        <v>-</v>
      </c>
      <c r="M20" s="17" t="str">
        <f>IFERROR(INDEX(Dataset!I:I,MATCH(_xlfn.AGGREGATE(14,6,Dataset!I:I/(Dataset!F:F=$D$11),J20),Dataset!I:I,0),1),"-")</f>
        <v>-</v>
      </c>
      <c r="N20" s="17" t="e">
        <f>IFERROR(INDEX(Dataset!R:R,MATCH(_xlfn.AGGREGATE(14,6,Dataset!I:I/(Dataset!F:F=$D$11),J20),Dataset!I:I,0),1),"-")/100</f>
        <v>#VALUE!</v>
      </c>
      <c r="O20" s="17" t="str">
        <f>IFERROR(INDEX(Dataset!AA:AA,MATCH(_xlfn.AGGREGATE(14,6,Dataset!I:I/(Dataset!F:F=$D$11),J20),Dataset!I:I,0),1),"-")</f>
        <v>-</v>
      </c>
      <c r="P20" s="18" t="str">
        <f>IFERROR(INDEX(Dataset!AJ:AJ,MATCH(_xlfn.AGGREGATE(14,6,Dataset!I:I/(Dataset!F:F=$D$11),J20),Dataset!I:I,0),1),"-")</f>
        <v>-</v>
      </c>
    </row>
    <row r="21" spans="2:16" ht="29.25" customHeight="1" x14ac:dyDescent="0.5">
      <c r="B21" s="12">
        <v>2</v>
      </c>
      <c r="C21" s="17" t="str">
        <f>IFERROR(INDEX(Dataset!G:G,MATCH(_xlfn.AGGREGATE(14,6,Dataset!AK:AK/(Dataset!F:F=$D$11),B21),Dataset!AK:AK,0),1),"-")</f>
        <v>-</v>
      </c>
      <c r="D21" s="17" t="str">
        <f>IFERROR(INDEX(Dataset!AK:AK,MATCH(_xlfn.AGGREGATE(14,6,Dataset!AK:AK/(Dataset!F:F=$D$11),B21),Dataset!AK:AK,0),1),"-")</f>
        <v>-</v>
      </c>
      <c r="E21" s="17" t="str">
        <f>IFERROR(INDEX(Dataset!I:I,MATCH(_xlfn.AGGREGATE(14,6,Dataset!AK:AK/(Dataset!F:F=$D$11),B21),Dataset!AK:AK,0),1),"-")</f>
        <v>-</v>
      </c>
      <c r="F21" s="17" t="e">
        <f>IFERROR(INDEX(Dataset!R:R,MATCH(_xlfn.AGGREGATE(14,6,Dataset!AK:AK/(Dataset!F:F=$D$11),B21),Dataset!AK:AK,0),1),"-")/100</f>
        <v>#VALUE!</v>
      </c>
      <c r="G21" s="17" t="str">
        <f>IFERROR(INDEX(Dataset!AA:AA,MATCH(_xlfn.AGGREGATE(14,6,Dataset!AK:AK/(Dataset!F:F=$D$11),B21),Dataset!AK:AK,0),1),"-")</f>
        <v>-</v>
      </c>
      <c r="H21" s="18" t="str">
        <f>IFERROR(INDEX(Dataset!AJ:AJ,MATCH(_xlfn.AGGREGATE(14,6,Dataset!AK:AK/(Dataset!F:F=$D$11),B21),Dataset!AK:AK,0),1),"-")</f>
        <v>-</v>
      </c>
      <c r="J21" s="12">
        <v>2</v>
      </c>
      <c r="K21" s="17" t="str">
        <f>IFERROR(INDEX(Dataset!G:G,MATCH(_xlfn.AGGREGATE(14,6,Dataset!I:I/(Dataset!F:F=$D$11),J21),Dataset!I:I,0),1),"-")</f>
        <v>-</v>
      </c>
      <c r="L21" s="17" t="str">
        <f>IFERROR(INDEX(Dataset!AK:AK,MATCH(_xlfn.AGGREGATE(14,6,Dataset!I:I/(Dataset!F:F=$D$11),J21),Dataset!I:I,0),1),"-")</f>
        <v>-</v>
      </c>
      <c r="M21" s="17" t="str">
        <f>IFERROR(INDEX(Dataset!I:I,MATCH(_xlfn.AGGREGATE(14,6,Dataset!I:I/(Dataset!F:F=$D$11),J21),Dataset!I:I,0),1),"-")</f>
        <v>-</v>
      </c>
      <c r="N21" s="17" t="e">
        <f>IFERROR(INDEX(Dataset!R:R,MATCH(_xlfn.AGGREGATE(14,6,Dataset!I:I/(Dataset!F:F=$D$11),J21),Dataset!I:I,0),1),"-")/100</f>
        <v>#VALUE!</v>
      </c>
      <c r="O21" s="17" t="str">
        <f>IFERROR(INDEX(Dataset!AA:AA,MATCH(_xlfn.AGGREGATE(14,6,Dataset!I:I/(Dataset!F:F=$D$11),J21),Dataset!I:I,0),1),"-")</f>
        <v>-</v>
      </c>
      <c r="P21" s="18" t="str">
        <f>IFERROR(INDEX(Dataset!AJ:AJ,MATCH(_xlfn.AGGREGATE(14,6,Dataset!I:I/(Dataset!F:F=$D$11),J21),Dataset!I:I,0),1),"-")</f>
        <v>-</v>
      </c>
    </row>
    <row r="22" spans="2:16" ht="29.25" customHeight="1" x14ac:dyDescent="0.5">
      <c r="B22" s="12">
        <v>3</v>
      </c>
      <c r="C22" s="17" t="str">
        <f>IFERROR(INDEX(Dataset!G:G,MATCH(_xlfn.AGGREGATE(14,6,Dataset!AK:AK/(Dataset!F:F=$D$11),B22),Dataset!AK:AK,0),1),"-")</f>
        <v>-</v>
      </c>
      <c r="D22" s="17" t="str">
        <f>IFERROR(INDEX(Dataset!AK:AK,MATCH(_xlfn.AGGREGATE(14,6,Dataset!AK:AK/(Dataset!F:F=$D$11),B22),Dataset!AK:AK,0),1),"-")</f>
        <v>-</v>
      </c>
      <c r="E22" s="17" t="str">
        <f>IFERROR(INDEX(Dataset!I:I,MATCH(_xlfn.AGGREGATE(14,6,Dataset!AK:AK/(Dataset!F:F=$D$11),B22),Dataset!AK:AK,0),1),"-")</f>
        <v>-</v>
      </c>
      <c r="F22" s="17" t="e">
        <f>IFERROR(INDEX(Dataset!R:R,MATCH(_xlfn.AGGREGATE(14,6,Dataset!AK:AK/(Dataset!F:F=$D$11),B22),Dataset!AK:AK,0),1),"-")/100</f>
        <v>#VALUE!</v>
      </c>
      <c r="G22" s="17" t="str">
        <f>IFERROR(INDEX(Dataset!AA:AA,MATCH(_xlfn.AGGREGATE(14,6,Dataset!AK:AK/(Dataset!F:F=$D$11),B22),Dataset!AK:AK,0),1),"-")</f>
        <v>-</v>
      </c>
      <c r="H22" s="18" t="str">
        <f>IFERROR(INDEX(Dataset!AJ:AJ,MATCH(_xlfn.AGGREGATE(14,6,Dataset!AK:AK/(Dataset!F:F=$D$11),B22),Dataset!AK:AK,0),1),"-")</f>
        <v>-</v>
      </c>
      <c r="J22" s="12">
        <v>3</v>
      </c>
      <c r="K22" s="17" t="str">
        <f>IFERROR(INDEX(Dataset!G:G,MATCH(_xlfn.AGGREGATE(14,6,Dataset!I:I/(Dataset!F:F=$D$11),J22),Dataset!I:I,0),1),"-")</f>
        <v>-</v>
      </c>
      <c r="L22" s="17" t="str">
        <f>IFERROR(INDEX(Dataset!AK:AK,MATCH(_xlfn.AGGREGATE(14,6,Dataset!I:I/(Dataset!F:F=$D$11),J22),Dataset!I:I,0),1),"-")</f>
        <v>-</v>
      </c>
      <c r="M22" s="17" t="str">
        <f>IFERROR(INDEX(Dataset!I:I,MATCH(_xlfn.AGGREGATE(14,6,Dataset!I:I/(Dataset!F:F=$D$11),J22),Dataset!I:I,0),1),"-")</f>
        <v>-</v>
      </c>
      <c r="N22" s="17" t="e">
        <f>IFERROR(INDEX(Dataset!R:R,MATCH(_xlfn.AGGREGATE(14,6,Dataset!I:I/(Dataset!F:F=$D$11),J22),Dataset!I:I,0),1),"-")/100</f>
        <v>#VALUE!</v>
      </c>
      <c r="O22" s="17" t="str">
        <f>IFERROR(INDEX(Dataset!AA:AA,MATCH(_xlfn.AGGREGATE(14,6,Dataset!I:I/(Dataset!F:F=$D$11),J22),Dataset!I:I,0),1),"-")</f>
        <v>-</v>
      </c>
      <c r="P22" s="18" t="str">
        <f>IFERROR(INDEX(Dataset!AJ:AJ,MATCH(_xlfn.AGGREGATE(14,6,Dataset!I:I/(Dataset!F:F=$D$11),J22),Dataset!I:I,0),1),"-")</f>
        <v>-</v>
      </c>
    </row>
    <row r="23" spans="2:16" ht="29.25" customHeight="1" x14ac:dyDescent="0.5">
      <c r="B23" s="12">
        <v>4</v>
      </c>
      <c r="C23" s="17" t="str">
        <f>IFERROR(INDEX(Dataset!G:G,MATCH(_xlfn.AGGREGATE(14,6,Dataset!AK:AK/(Dataset!F:F=$D$11),B23),Dataset!AK:AK,0),1),"-")</f>
        <v>-</v>
      </c>
      <c r="D23" s="17" t="str">
        <f>IFERROR(INDEX(Dataset!AK:AK,MATCH(_xlfn.AGGREGATE(14,6,Dataset!AK:AK/(Dataset!F:F=$D$11),B23),Dataset!AK:AK,0),1),"-")</f>
        <v>-</v>
      </c>
      <c r="E23" s="17" t="str">
        <f>IFERROR(INDEX(Dataset!I:I,MATCH(_xlfn.AGGREGATE(14,6,Dataset!AK:AK/(Dataset!F:F=$D$11),B23),Dataset!AK:AK,0),1),"-")</f>
        <v>-</v>
      </c>
      <c r="F23" s="17" t="e">
        <f>IFERROR(INDEX(Dataset!R:R,MATCH(_xlfn.AGGREGATE(14,6,Dataset!AK:AK/(Dataset!F:F=$D$11),B23),Dataset!AK:AK,0),1),"-")/100</f>
        <v>#VALUE!</v>
      </c>
      <c r="G23" s="17" t="str">
        <f>IFERROR(INDEX(Dataset!AA:AA,MATCH(_xlfn.AGGREGATE(14,6,Dataset!AK:AK/(Dataset!F:F=$D$11),B23),Dataset!AK:AK,0),1),"-")</f>
        <v>-</v>
      </c>
      <c r="H23" s="18" t="str">
        <f>IFERROR(INDEX(Dataset!AJ:AJ,MATCH(_xlfn.AGGREGATE(14,6,Dataset!AK:AK/(Dataset!F:F=$D$11),B23),Dataset!AK:AK,0),1),"-")</f>
        <v>-</v>
      </c>
      <c r="J23" s="12">
        <v>4</v>
      </c>
      <c r="K23" s="17" t="str">
        <f>IFERROR(INDEX(Dataset!G:G,MATCH(_xlfn.AGGREGATE(14,6,Dataset!I:I/(Dataset!F:F=$D$11),J23),Dataset!I:I,0),1),"-")</f>
        <v>-</v>
      </c>
      <c r="L23" s="17" t="str">
        <f>IFERROR(INDEX(Dataset!AK:AK,MATCH(_xlfn.AGGREGATE(14,6,Dataset!I:I/(Dataset!F:F=$D$11),J23),Dataset!I:I,0),1),"-")</f>
        <v>-</v>
      </c>
      <c r="M23" s="17" t="str">
        <f>IFERROR(INDEX(Dataset!I:I,MATCH(_xlfn.AGGREGATE(14,6,Dataset!I:I/(Dataset!F:F=$D$11),J23),Dataset!I:I,0),1),"-")</f>
        <v>-</v>
      </c>
      <c r="N23" s="17" t="e">
        <f>IFERROR(INDEX(Dataset!R:R,MATCH(_xlfn.AGGREGATE(14,6,Dataset!I:I/(Dataset!F:F=$D$11),J23),Dataset!I:I,0),1),"-")/100</f>
        <v>#VALUE!</v>
      </c>
      <c r="O23" s="17" t="str">
        <f>IFERROR(INDEX(Dataset!AA:AA,MATCH(_xlfn.AGGREGATE(14,6,Dataset!I:I/(Dataset!F:F=$D$11),J23),Dataset!I:I,0),1),"-")</f>
        <v>-</v>
      </c>
      <c r="P23" s="18" t="str">
        <f>IFERROR(INDEX(Dataset!AJ:AJ,MATCH(_xlfn.AGGREGATE(14,6,Dataset!I:I/(Dataset!F:F=$D$11),J23),Dataset!I:I,0),1),"-")</f>
        <v>-</v>
      </c>
    </row>
    <row r="24" spans="2:16" ht="29.25" customHeight="1" x14ac:dyDescent="0.5">
      <c r="B24" s="12">
        <v>5</v>
      </c>
      <c r="C24" s="17" t="str">
        <f>IFERROR(INDEX(Dataset!G:G,MATCH(_xlfn.AGGREGATE(14,6,Dataset!AK:AK/(Dataset!F:F=$D$11),B24),Dataset!AK:AK,0),1),"-")</f>
        <v>-</v>
      </c>
      <c r="D24" s="17" t="str">
        <f>IFERROR(INDEX(Dataset!AK:AK,MATCH(_xlfn.AGGREGATE(14,6,Dataset!AK:AK/(Dataset!F:F=$D$11),B24),Dataset!AK:AK,0),1),"-")</f>
        <v>-</v>
      </c>
      <c r="E24" s="17" t="str">
        <f>IFERROR(INDEX(Dataset!I:I,MATCH(_xlfn.AGGREGATE(14,6,Dataset!AK:AK/(Dataset!F:F=$D$11),B24),Dataset!AK:AK,0),1),"-")</f>
        <v>-</v>
      </c>
      <c r="F24" s="17" t="e">
        <f>IFERROR(INDEX(Dataset!R:R,MATCH(_xlfn.AGGREGATE(14,6,Dataset!AK:AK/(Dataset!F:F=$D$11),B24),Dataset!AK:AK,0),1),"-")/100</f>
        <v>#VALUE!</v>
      </c>
      <c r="G24" s="17" t="str">
        <f>IFERROR(INDEX(Dataset!AA:AA,MATCH(_xlfn.AGGREGATE(14,6,Dataset!AK:AK/(Dataset!F:F=$D$11),B24),Dataset!AK:AK,0),1),"-")</f>
        <v>-</v>
      </c>
      <c r="H24" s="18" t="str">
        <f>IFERROR(INDEX(Dataset!AJ:AJ,MATCH(_xlfn.AGGREGATE(14,6,Dataset!AK:AK/(Dataset!F:F=$D$11),B24),Dataset!AK:AK,0),1),"-")</f>
        <v>-</v>
      </c>
      <c r="J24" s="12">
        <v>5</v>
      </c>
      <c r="K24" s="17" t="str">
        <f>IFERROR(INDEX(Dataset!G:G,MATCH(_xlfn.AGGREGATE(14,6,Dataset!I:I/(Dataset!F:F=$D$11),J24),Dataset!I:I,0),1),"-")</f>
        <v>-</v>
      </c>
      <c r="L24" s="17" t="str">
        <f>IFERROR(INDEX(Dataset!AK:AK,MATCH(_xlfn.AGGREGATE(14,6,Dataset!I:I/(Dataset!F:F=$D$11),J24),Dataset!I:I,0),1),"-")</f>
        <v>-</v>
      </c>
      <c r="M24" s="17" t="str">
        <f>IFERROR(INDEX(Dataset!I:I,MATCH(_xlfn.AGGREGATE(14,6,Dataset!I:I/(Dataset!F:F=$D$11),J24),Dataset!I:I,0),1),"-")</f>
        <v>-</v>
      </c>
      <c r="N24" s="17" t="e">
        <f>IFERROR(INDEX(Dataset!R:R,MATCH(_xlfn.AGGREGATE(14,6,Dataset!I:I/(Dataset!F:F=$D$11),J24),Dataset!I:I,0),1),"-")/100</f>
        <v>#VALUE!</v>
      </c>
      <c r="O24" s="17" t="str">
        <f>IFERROR(INDEX(Dataset!AA:AA,MATCH(_xlfn.AGGREGATE(14,6,Dataset!I:I/(Dataset!F:F=$D$11),J24),Dataset!I:I,0),1),"-")</f>
        <v>-</v>
      </c>
      <c r="P24" s="18" t="str">
        <f>IFERROR(INDEX(Dataset!AJ:AJ,MATCH(_xlfn.AGGREGATE(14,6,Dataset!I:I/(Dataset!F:F=$D$11),J24),Dataset!I:I,0),1),"-")</f>
        <v>-</v>
      </c>
    </row>
    <row r="25" spans="2:16" ht="29.25" customHeight="1" x14ac:dyDescent="0.5">
      <c r="B25" s="12">
        <v>6</v>
      </c>
      <c r="C25" s="17" t="str">
        <f>IFERROR(INDEX(Dataset!G:G,MATCH(_xlfn.AGGREGATE(14,6,Dataset!AK:AK/(Dataset!F:F=$D$11),B25),Dataset!AK:AK,0),1),"-")</f>
        <v>-</v>
      </c>
      <c r="D25" s="17" t="str">
        <f>IFERROR(INDEX(Dataset!AK:AK,MATCH(_xlfn.AGGREGATE(14,6,Dataset!AK:AK/(Dataset!F:F=$D$11),B25),Dataset!AK:AK,0),1),"-")</f>
        <v>-</v>
      </c>
      <c r="E25" s="17" t="str">
        <f>IFERROR(INDEX(Dataset!I:I,MATCH(_xlfn.AGGREGATE(14,6,Dataset!AK:AK/(Dataset!F:F=$D$11),B25),Dataset!AK:AK,0),1),"-")</f>
        <v>-</v>
      </c>
      <c r="F25" s="17" t="e">
        <f>IFERROR(INDEX(Dataset!R:R,MATCH(_xlfn.AGGREGATE(14,6,Dataset!AK:AK/(Dataset!F:F=$D$11),B25),Dataset!AK:AK,0),1),"-")/100</f>
        <v>#VALUE!</v>
      </c>
      <c r="G25" s="17" t="str">
        <f>IFERROR(INDEX(Dataset!AA:AA,MATCH(_xlfn.AGGREGATE(14,6,Dataset!AK:AK/(Dataset!F:F=$D$11),B25),Dataset!AK:AK,0),1),"-")</f>
        <v>-</v>
      </c>
      <c r="H25" s="18" t="str">
        <f>IFERROR(INDEX(Dataset!AJ:AJ,MATCH(_xlfn.AGGREGATE(14,6,Dataset!AK:AK/(Dataset!F:F=$D$11),B25),Dataset!AK:AK,0),1),"-")</f>
        <v>-</v>
      </c>
      <c r="J25" s="12">
        <v>6</v>
      </c>
      <c r="K25" s="17" t="str">
        <f>IFERROR(INDEX(Dataset!G:G,MATCH(_xlfn.AGGREGATE(14,6,Dataset!I:I/(Dataset!F:F=$D$11),J25),Dataset!I:I,0),1),"-")</f>
        <v>-</v>
      </c>
      <c r="L25" s="17" t="str">
        <f>IFERROR(INDEX(Dataset!AK:AK,MATCH(_xlfn.AGGREGATE(14,6,Dataset!I:I/(Dataset!F:F=$D$11),J25),Dataset!I:I,0),1),"-")</f>
        <v>-</v>
      </c>
      <c r="M25" s="17" t="str">
        <f>IFERROR(INDEX(Dataset!I:I,MATCH(_xlfn.AGGREGATE(14,6,Dataset!I:I/(Dataset!F:F=$D$11),J25),Dataset!I:I,0),1),"-")</f>
        <v>-</v>
      </c>
      <c r="N25" s="17" t="e">
        <f>IFERROR(INDEX(Dataset!R:R,MATCH(_xlfn.AGGREGATE(14,6,Dataset!I:I/(Dataset!F:F=$D$11),J25),Dataset!I:I,0),1),"-")/100</f>
        <v>#VALUE!</v>
      </c>
      <c r="O25" s="17" t="str">
        <f>IFERROR(INDEX(Dataset!AA:AA,MATCH(_xlfn.AGGREGATE(14,6,Dataset!I:I/(Dataset!F:F=$D$11),J25),Dataset!I:I,0),1),"-")</f>
        <v>-</v>
      </c>
      <c r="P25" s="18" t="str">
        <f>IFERROR(INDEX(Dataset!AJ:AJ,MATCH(_xlfn.AGGREGATE(14,6,Dataset!I:I/(Dataset!F:F=$D$11),J25),Dataset!I:I,0),1),"-")</f>
        <v>-</v>
      </c>
    </row>
    <row r="26" spans="2:16" ht="29.25" customHeight="1" x14ac:dyDescent="0.5">
      <c r="B26" s="12">
        <v>7</v>
      </c>
      <c r="C26" s="17" t="str">
        <f>IFERROR(INDEX(Dataset!G:G,MATCH(_xlfn.AGGREGATE(14,6,Dataset!AK:AK/(Dataset!F:F=$D$11),B26),Dataset!AK:AK,0),1),"-")</f>
        <v>-</v>
      </c>
      <c r="D26" s="17" t="str">
        <f>IFERROR(INDEX(Dataset!AK:AK,MATCH(_xlfn.AGGREGATE(14,6,Dataset!AK:AK/(Dataset!F:F=$D$11),B26),Dataset!AK:AK,0),1),"-")</f>
        <v>-</v>
      </c>
      <c r="E26" s="17" t="str">
        <f>IFERROR(INDEX(Dataset!I:I,MATCH(_xlfn.AGGREGATE(14,6,Dataset!AK:AK/(Dataset!F:F=$D$11),B26),Dataset!AK:AK,0),1),"-")</f>
        <v>-</v>
      </c>
      <c r="F26" s="17" t="e">
        <f>IFERROR(INDEX(Dataset!R:R,MATCH(_xlfn.AGGREGATE(14,6,Dataset!AK:AK/(Dataset!F:F=$D$11),B26),Dataset!AK:AK,0),1),"-")/100</f>
        <v>#VALUE!</v>
      </c>
      <c r="G26" s="17" t="str">
        <f>IFERROR(INDEX(Dataset!AA:AA,MATCH(_xlfn.AGGREGATE(14,6,Dataset!AK:AK/(Dataset!F:F=$D$11),B26),Dataset!AK:AK,0),1),"-")</f>
        <v>-</v>
      </c>
      <c r="H26" s="18" t="str">
        <f>IFERROR(INDEX(Dataset!AJ:AJ,MATCH(_xlfn.AGGREGATE(14,6,Dataset!AK:AK/(Dataset!F:F=$D$11),B26),Dataset!AK:AK,0),1),"-")</f>
        <v>-</v>
      </c>
      <c r="J26" s="12">
        <v>7</v>
      </c>
      <c r="K26" s="17" t="str">
        <f>IFERROR(INDEX(Dataset!G:G,MATCH(_xlfn.AGGREGATE(14,6,Dataset!I:I/(Dataset!F:F=$D$11),J26),Dataset!I:I,0),1),"-")</f>
        <v>-</v>
      </c>
      <c r="L26" s="17" t="str">
        <f>IFERROR(INDEX(Dataset!AK:AK,MATCH(_xlfn.AGGREGATE(14,6,Dataset!I:I/(Dataset!F:F=$D$11),J26),Dataset!I:I,0),1),"-")</f>
        <v>-</v>
      </c>
      <c r="M26" s="17" t="str">
        <f>IFERROR(INDEX(Dataset!I:I,MATCH(_xlfn.AGGREGATE(14,6,Dataset!I:I/(Dataset!F:F=$D$11),J26),Dataset!I:I,0),1),"-")</f>
        <v>-</v>
      </c>
      <c r="N26" s="17" t="e">
        <f>IFERROR(INDEX(Dataset!R:R,MATCH(_xlfn.AGGREGATE(14,6,Dataset!I:I/(Dataset!F:F=$D$11),J26),Dataset!I:I,0),1),"-")/100</f>
        <v>#VALUE!</v>
      </c>
      <c r="O26" s="17" t="str">
        <f>IFERROR(INDEX(Dataset!AA:AA,MATCH(_xlfn.AGGREGATE(14,6,Dataset!I:I/(Dataset!F:F=$D$11),J26),Dataset!I:I,0),1),"-")</f>
        <v>-</v>
      </c>
      <c r="P26" s="18" t="str">
        <f>IFERROR(INDEX(Dataset!AJ:AJ,MATCH(_xlfn.AGGREGATE(14,6,Dataset!I:I/(Dataset!F:F=$D$11),J26),Dataset!I:I,0),1),"-")</f>
        <v>-</v>
      </c>
    </row>
    <row r="27" spans="2:16" ht="29.25" customHeight="1" x14ac:dyDescent="0.5">
      <c r="B27" s="12">
        <v>8</v>
      </c>
      <c r="C27" s="17" t="str">
        <f>IFERROR(INDEX(Dataset!G:G,MATCH(_xlfn.AGGREGATE(14,6,Dataset!AK:AK/(Dataset!F:F=$D$11),B27),Dataset!AK:AK,0),1),"-")</f>
        <v>-</v>
      </c>
      <c r="D27" s="17" t="str">
        <f>IFERROR(INDEX(Dataset!AK:AK,MATCH(_xlfn.AGGREGATE(14,6,Dataset!AK:AK/(Dataset!F:F=$D$11),B27),Dataset!AK:AK,0),1),"-")</f>
        <v>-</v>
      </c>
      <c r="E27" s="17" t="str">
        <f>IFERROR(INDEX(Dataset!I:I,MATCH(_xlfn.AGGREGATE(14,6,Dataset!AK:AK/(Dataset!F:F=$D$11),B27),Dataset!AK:AK,0),1),"-")</f>
        <v>-</v>
      </c>
      <c r="F27" s="17" t="e">
        <f>IFERROR(INDEX(Dataset!R:R,MATCH(_xlfn.AGGREGATE(14,6,Dataset!AK:AK/(Dataset!F:F=$D$11),B27),Dataset!AK:AK,0),1),"-")/100</f>
        <v>#VALUE!</v>
      </c>
      <c r="G27" s="17" t="str">
        <f>IFERROR(INDEX(Dataset!AA:AA,MATCH(_xlfn.AGGREGATE(14,6,Dataset!AK:AK/(Dataset!F:F=$D$11),B27),Dataset!AK:AK,0),1),"-")</f>
        <v>-</v>
      </c>
      <c r="H27" s="18" t="str">
        <f>IFERROR(INDEX(Dataset!AJ:AJ,MATCH(_xlfn.AGGREGATE(14,6,Dataset!AK:AK/(Dataset!F:F=$D$11),B27),Dataset!AK:AK,0),1),"-")</f>
        <v>-</v>
      </c>
      <c r="J27" s="12">
        <v>8</v>
      </c>
      <c r="K27" s="17" t="str">
        <f>IFERROR(INDEX(Dataset!G:G,MATCH(_xlfn.AGGREGATE(14,6,Dataset!I:I/(Dataset!F:F=$D$11),J27),Dataset!I:I,0),1),"-")</f>
        <v>-</v>
      </c>
      <c r="L27" s="17" t="str">
        <f>IFERROR(INDEX(Dataset!AK:AK,MATCH(_xlfn.AGGREGATE(14,6,Dataset!I:I/(Dataset!F:F=$D$11),J27),Dataset!I:I,0),1),"-")</f>
        <v>-</v>
      </c>
      <c r="M27" s="17" t="str">
        <f>IFERROR(INDEX(Dataset!I:I,MATCH(_xlfn.AGGREGATE(14,6,Dataset!I:I/(Dataset!F:F=$D$11),J27),Dataset!I:I,0),1),"-")</f>
        <v>-</v>
      </c>
      <c r="N27" s="17" t="e">
        <f>IFERROR(INDEX(Dataset!R:R,MATCH(_xlfn.AGGREGATE(14,6,Dataset!I:I/(Dataset!F:F=$D$11),J27),Dataset!I:I,0),1),"-")/100</f>
        <v>#VALUE!</v>
      </c>
      <c r="O27" s="17" t="str">
        <f>IFERROR(INDEX(Dataset!AA:AA,MATCH(_xlfn.AGGREGATE(14,6,Dataset!I:I/(Dataset!F:F=$D$11),J27),Dataset!I:I,0),1),"-")</f>
        <v>-</v>
      </c>
      <c r="P27" s="18" t="str">
        <f>IFERROR(INDEX(Dataset!AJ:AJ,MATCH(_xlfn.AGGREGATE(14,6,Dataset!I:I/(Dataset!F:F=$D$11),J27),Dataset!I:I,0),1),"-")</f>
        <v>-</v>
      </c>
    </row>
    <row r="28" spans="2:16" ht="29.25" customHeight="1" x14ac:dyDescent="0.5">
      <c r="B28" s="12">
        <v>9</v>
      </c>
      <c r="C28" s="17" t="str">
        <f>IFERROR(INDEX(Dataset!G:G,MATCH(_xlfn.AGGREGATE(14,6,Dataset!AK:AK/(Dataset!F:F=$D$11),B28),Dataset!AK:AK,0),1),"-")</f>
        <v>-</v>
      </c>
      <c r="D28" s="17" t="str">
        <f>IFERROR(INDEX(Dataset!AK:AK,MATCH(_xlfn.AGGREGATE(14,6,Dataset!AK:AK/(Dataset!F:F=$D$11),B28),Dataset!AK:AK,0),1),"-")</f>
        <v>-</v>
      </c>
      <c r="E28" s="17" t="str">
        <f>IFERROR(INDEX(Dataset!I:I,MATCH(_xlfn.AGGREGATE(14,6,Dataset!AK:AK/(Dataset!F:F=$D$11),B28),Dataset!AK:AK,0),1),"-")</f>
        <v>-</v>
      </c>
      <c r="F28" s="17" t="e">
        <f>IFERROR(INDEX(Dataset!R:R,MATCH(_xlfn.AGGREGATE(14,6,Dataset!AK:AK/(Dataset!F:F=$D$11),B28),Dataset!AK:AK,0),1),"-")/100</f>
        <v>#VALUE!</v>
      </c>
      <c r="G28" s="17" t="str">
        <f>IFERROR(INDEX(Dataset!AA:AA,MATCH(_xlfn.AGGREGATE(14,6,Dataset!AK:AK/(Dataset!F:F=$D$11),B28),Dataset!AK:AK,0),1),"-")</f>
        <v>-</v>
      </c>
      <c r="H28" s="18" t="str">
        <f>IFERROR(INDEX(Dataset!AJ:AJ,MATCH(_xlfn.AGGREGATE(14,6,Dataset!AK:AK/(Dataset!F:F=$D$11),B28),Dataset!AK:AK,0),1),"-")</f>
        <v>-</v>
      </c>
      <c r="J28" s="12">
        <v>9</v>
      </c>
      <c r="K28" s="17" t="str">
        <f>IFERROR(INDEX(Dataset!G:G,MATCH(_xlfn.AGGREGATE(14,6,Dataset!I:I/(Dataset!F:F=$D$11),J28),Dataset!I:I,0),1),"-")</f>
        <v>-</v>
      </c>
      <c r="L28" s="17" t="str">
        <f>IFERROR(INDEX(Dataset!AK:AK,MATCH(_xlfn.AGGREGATE(14,6,Dataset!I:I/(Dataset!F:F=$D$11),J28),Dataset!I:I,0),1),"-")</f>
        <v>-</v>
      </c>
      <c r="M28" s="17" t="str">
        <f>IFERROR(INDEX(Dataset!I:I,MATCH(_xlfn.AGGREGATE(14,6,Dataset!I:I/(Dataset!F:F=$D$11),J28),Dataset!I:I,0),1),"-")</f>
        <v>-</v>
      </c>
      <c r="N28" s="17" t="e">
        <f>IFERROR(INDEX(Dataset!R:R,MATCH(_xlfn.AGGREGATE(14,6,Dataset!I:I/(Dataset!F:F=$D$11),J28),Dataset!I:I,0),1),"-")/100</f>
        <v>#VALUE!</v>
      </c>
      <c r="O28" s="17" t="str">
        <f>IFERROR(INDEX(Dataset!AA:AA,MATCH(_xlfn.AGGREGATE(14,6,Dataset!I:I/(Dataset!F:F=$D$11),J28),Dataset!I:I,0),1),"-")</f>
        <v>-</v>
      </c>
      <c r="P28" s="18" t="str">
        <f>IFERROR(INDEX(Dataset!AJ:AJ,MATCH(_xlfn.AGGREGATE(14,6,Dataset!I:I/(Dataset!F:F=$D$11),J28),Dataset!I:I,0),1),"-")</f>
        <v>-</v>
      </c>
    </row>
    <row r="29" spans="2:16" ht="29.25" customHeight="1" x14ac:dyDescent="0.5">
      <c r="B29" s="12">
        <v>10</v>
      </c>
      <c r="C29" s="17" t="str">
        <f>IFERROR(INDEX(Dataset!G:G,MATCH(_xlfn.AGGREGATE(14,6,Dataset!AK:AK/(Dataset!F:F=$D$11),B29),Dataset!AK:AK,0),1),"-")</f>
        <v>-</v>
      </c>
      <c r="D29" s="17" t="str">
        <f>IFERROR(INDEX(Dataset!AK:AK,MATCH(_xlfn.AGGREGATE(14,6,Dataset!AK:AK/(Dataset!F:F=$D$11),B29),Dataset!AK:AK,0),1),"-")</f>
        <v>-</v>
      </c>
      <c r="E29" s="17" t="str">
        <f>IFERROR(INDEX(Dataset!I:I,MATCH(_xlfn.AGGREGATE(14,6,Dataset!AK:AK/(Dataset!F:F=$D$11),B29),Dataset!AK:AK,0),1),"-")</f>
        <v>-</v>
      </c>
      <c r="F29" s="17" t="e">
        <f>IFERROR(INDEX(Dataset!R:R,MATCH(_xlfn.AGGREGATE(14,6,Dataset!AK:AK/(Dataset!F:F=$D$11),B29),Dataset!AK:AK,0),1),"-")/100</f>
        <v>#VALUE!</v>
      </c>
      <c r="G29" s="17" t="str">
        <f>IFERROR(INDEX(Dataset!AA:AA,MATCH(_xlfn.AGGREGATE(14,6,Dataset!AK:AK/(Dataset!F:F=$D$11),B29),Dataset!AK:AK,0),1),"-")</f>
        <v>-</v>
      </c>
      <c r="H29" s="18" t="str">
        <f>IFERROR(INDEX(Dataset!AJ:AJ,MATCH(_xlfn.AGGREGATE(14,6,Dataset!AK:AK/(Dataset!F:F=$D$11),B29),Dataset!AK:AK,0),1),"-")</f>
        <v>-</v>
      </c>
      <c r="J29" s="12">
        <v>10</v>
      </c>
      <c r="K29" s="17" t="str">
        <f>IFERROR(INDEX(Dataset!G:G,MATCH(_xlfn.AGGREGATE(14,6,Dataset!I:I/(Dataset!F:F=$D$11),J29),Dataset!I:I,0),1),"-")</f>
        <v>-</v>
      </c>
      <c r="L29" s="17" t="str">
        <f>IFERROR(INDEX(Dataset!AK:AK,MATCH(_xlfn.AGGREGATE(14,6,Dataset!I:I/(Dataset!F:F=$D$11),J29),Dataset!I:I,0),1),"-")</f>
        <v>-</v>
      </c>
      <c r="M29" s="17" t="str">
        <f>IFERROR(INDEX(Dataset!I:I,MATCH(_xlfn.AGGREGATE(14,6,Dataset!I:I/(Dataset!F:F=$D$11),J29),Dataset!I:I,0),1),"-")</f>
        <v>-</v>
      </c>
      <c r="N29" s="17" t="e">
        <f>IFERROR(INDEX(Dataset!R:R,MATCH(_xlfn.AGGREGATE(14,6,Dataset!I:I/(Dataset!F:F=$D$11),J29),Dataset!I:I,0),1),"-")/100</f>
        <v>#VALUE!</v>
      </c>
      <c r="O29" s="17" t="str">
        <f>IFERROR(INDEX(Dataset!AA:AA,MATCH(_xlfn.AGGREGATE(14,6,Dataset!I:I/(Dataset!F:F=$D$11),J29),Dataset!I:I,0),1),"-")</f>
        <v>-</v>
      </c>
      <c r="P29" s="18" t="str">
        <f>IFERROR(INDEX(Dataset!AJ:AJ,MATCH(_xlfn.AGGREGATE(14,6,Dataset!I:I/(Dataset!F:F=$D$11),J29),Dataset!I:I,0),1),"-")</f>
        <v>-</v>
      </c>
    </row>
    <row r="30" spans="2:16" ht="29.25" customHeight="1" x14ac:dyDescent="0.5">
      <c r="B30" s="12">
        <v>11</v>
      </c>
      <c r="C30" s="17" t="str">
        <f>IFERROR(INDEX(Dataset!G:G,MATCH(_xlfn.AGGREGATE(14,6,Dataset!AK:AK/(Dataset!F:F=$D$11),B30),Dataset!AK:AK,0),1),"-")</f>
        <v>-</v>
      </c>
      <c r="D30" s="17" t="str">
        <f>IFERROR(INDEX(Dataset!AK:AK,MATCH(_xlfn.AGGREGATE(14,6,Dataset!AK:AK/(Dataset!F:F=$D$11),B30),Dataset!AK:AK,0),1),"-")</f>
        <v>-</v>
      </c>
      <c r="E30" s="17" t="str">
        <f>IFERROR(INDEX(Dataset!I:I,MATCH(_xlfn.AGGREGATE(14,6,Dataset!AK:AK/(Dataset!F:F=$D$11),B30),Dataset!AK:AK,0),1),"-")</f>
        <v>-</v>
      </c>
      <c r="F30" s="17" t="e">
        <f>IFERROR(INDEX(Dataset!R:R,MATCH(_xlfn.AGGREGATE(14,6,Dataset!AK:AK/(Dataset!F:F=$D$11),B30),Dataset!AK:AK,0),1),"-")/100</f>
        <v>#VALUE!</v>
      </c>
      <c r="G30" s="17" t="str">
        <f>IFERROR(INDEX(Dataset!AA:AA,MATCH(_xlfn.AGGREGATE(14,6,Dataset!AK:AK/(Dataset!F:F=$D$11),B30),Dataset!AK:AK,0),1),"-")</f>
        <v>-</v>
      </c>
      <c r="H30" s="18" t="str">
        <f>IFERROR(INDEX(Dataset!AJ:AJ,MATCH(_xlfn.AGGREGATE(14,6,Dataset!AK:AK/(Dataset!F:F=$D$11),B30),Dataset!AK:AK,0),1),"-")</f>
        <v>-</v>
      </c>
      <c r="J30" s="12">
        <v>11</v>
      </c>
      <c r="K30" s="17" t="str">
        <f>IFERROR(INDEX(Dataset!G:G,MATCH(_xlfn.AGGREGATE(14,6,Dataset!I:I/(Dataset!F:F=$D$11),J30),Dataset!I:I,0),1),"-")</f>
        <v>-</v>
      </c>
      <c r="L30" s="17" t="str">
        <f>IFERROR(INDEX(Dataset!AK:AK,MATCH(_xlfn.AGGREGATE(14,6,Dataset!I:I/(Dataset!F:F=$D$11),J30),Dataset!I:I,0),1),"-")</f>
        <v>-</v>
      </c>
      <c r="M30" s="17" t="str">
        <f>IFERROR(INDEX(Dataset!I:I,MATCH(_xlfn.AGGREGATE(14,6,Dataset!I:I/(Dataset!F:F=$D$11),J30),Dataset!I:I,0),1),"-")</f>
        <v>-</v>
      </c>
      <c r="N30" s="17" t="e">
        <f>IFERROR(INDEX(Dataset!R:R,MATCH(_xlfn.AGGREGATE(14,6,Dataset!I:I/(Dataset!F:F=$D$11),J30),Dataset!I:I,0),1),"-")/100</f>
        <v>#VALUE!</v>
      </c>
      <c r="O30" s="17" t="str">
        <f>IFERROR(INDEX(Dataset!AA:AA,MATCH(_xlfn.AGGREGATE(14,6,Dataset!I:I/(Dataset!F:F=$D$11),J30),Dataset!I:I,0),1),"-")</f>
        <v>-</v>
      </c>
      <c r="P30" s="18" t="str">
        <f>IFERROR(INDEX(Dataset!AJ:AJ,MATCH(_xlfn.AGGREGATE(14,6,Dataset!I:I/(Dataset!F:F=$D$11),J30),Dataset!I:I,0),1),"-")</f>
        <v>-</v>
      </c>
    </row>
    <row r="31" spans="2:16" ht="29.25" customHeight="1" x14ac:dyDescent="0.5">
      <c r="B31" s="12">
        <v>12</v>
      </c>
      <c r="C31" s="17" t="str">
        <f>IFERROR(INDEX(Dataset!G:G,MATCH(_xlfn.AGGREGATE(14,6,Dataset!AK:AK/(Dataset!F:F=$D$11),B31),Dataset!AK:AK,0),1),"-")</f>
        <v>-</v>
      </c>
      <c r="D31" s="17" t="str">
        <f>IFERROR(INDEX(Dataset!AK:AK,MATCH(_xlfn.AGGREGATE(14,6,Dataset!AK:AK/(Dataset!F:F=$D$11),B31),Dataset!AK:AK,0),1),"-")</f>
        <v>-</v>
      </c>
      <c r="E31" s="17" t="str">
        <f>IFERROR(INDEX(Dataset!I:I,MATCH(_xlfn.AGGREGATE(14,6,Dataset!AK:AK/(Dataset!F:F=$D$11),B31),Dataset!AK:AK,0),1),"-")</f>
        <v>-</v>
      </c>
      <c r="F31" s="17" t="e">
        <f>IFERROR(INDEX(Dataset!R:R,MATCH(_xlfn.AGGREGATE(14,6,Dataset!AK:AK/(Dataset!F:F=$D$11),B31),Dataset!AK:AK,0),1),"-")/100</f>
        <v>#VALUE!</v>
      </c>
      <c r="G31" s="17" t="str">
        <f>IFERROR(INDEX(Dataset!AA:AA,MATCH(_xlfn.AGGREGATE(14,6,Dataset!AK:AK/(Dataset!F:F=$D$11),B31),Dataset!AK:AK,0),1),"-")</f>
        <v>-</v>
      </c>
      <c r="H31" s="18" t="str">
        <f>IFERROR(INDEX(Dataset!AJ:AJ,MATCH(_xlfn.AGGREGATE(14,6,Dataset!AK:AK/(Dataset!F:F=$D$11),B31),Dataset!AK:AK,0),1),"-")</f>
        <v>-</v>
      </c>
      <c r="J31" s="12">
        <v>12</v>
      </c>
      <c r="K31" s="17" t="str">
        <f>IFERROR(INDEX(Dataset!G:G,MATCH(_xlfn.AGGREGATE(14,6,Dataset!I:I/(Dataset!F:F=$D$11),J31),Dataset!I:I,0),1),"-")</f>
        <v>-</v>
      </c>
      <c r="L31" s="17" t="str">
        <f>IFERROR(INDEX(Dataset!AK:AK,MATCH(_xlfn.AGGREGATE(14,6,Dataset!I:I/(Dataset!F:F=$D$11),J31),Dataset!I:I,0),1),"-")</f>
        <v>-</v>
      </c>
      <c r="M31" s="17" t="str">
        <f>IFERROR(INDEX(Dataset!I:I,MATCH(_xlfn.AGGREGATE(14,6,Dataset!I:I/(Dataset!F:F=$D$11),J31),Dataset!I:I,0),1),"-")</f>
        <v>-</v>
      </c>
      <c r="N31" s="17" t="e">
        <f>IFERROR(INDEX(Dataset!R:R,MATCH(_xlfn.AGGREGATE(14,6,Dataset!I:I/(Dataset!F:F=$D$11),J31),Dataset!I:I,0),1),"-")/100</f>
        <v>#VALUE!</v>
      </c>
      <c r="O31" s="17" t="str">
        <f>IFERROR(INDEX(Dataset!AA:AA,MATCH(_xlfn.AGGREGATE(14,6,Dataset!I:I/(Dataset!F:F=$D$11),J31),Dataset!I:I,0),1),"-")</f>
        <v>-</v>
      </c>
      <c r="P31" s="18" t="str">
        <f>IFERROR(INDEX(Dataset!AJ:AJ,MATCH(_xlfn.AGGREGATE(14,6,Dataset!I:I/(Dataset!F:F=$D$11),J31),Dataset!I:I,0),1),"-")</f>
        <v>-</v>
      </c>
    </row>
    <row r="32" spans="2:16" ht="29.25" customHeight="1" x14ac:dyDescent="0.5">
      <c r="B32" s="12">
        <v>13</v>
      </c>
      <c r="C32" s="17" t="str">
        <f>IFERROR(INDEX(Dataset!G:G,MATCH(_xlfn.AGGREGATE(14,6,Dataset!AK:AK/(Dataset!F:F=$D$11),B32),Dataset!AK:AK,0),1),"-")</f>
        <v>-</v>
      </c>
      <c r="D32" s="17" t="str">
        <f>IFERROR(INDEX(Dataset!AK:AK,MATCH(_xlfn.AGGREGATE(14,6,Dataset!AK:AK/(Dataset!F:F=$D$11),B32),Dataset!AK:AK,0),1),"-")</f>
        <v>-</v>
      </c>
      <c r="E32" s="17" t="str">
        <f>IFERROR(INDEX(Dataset!I:I,MATCH(_xlfn.AGGREGATE(14,6,Dataset!AK:AK/(Dataset!F:F=$D$11),B32),Dataset!AK:AK,0),1),"-")</f>
        <v>-</v>
      </c>
      <c r="F32" s="17" t="e">
        <f>IFERROR(INDEX(Dataset!R:R,MATCH(_xlfn.AGGREGATE(14,6,Dataset!AK:AK/(Dataset!F:F=$D$11),B32),Dataset!AK:AK,0),1),"-")/100</f>
        <v>#VALUE!</v>
      </c>
      <c r="G32" s="17" t="str">
        <f>IFERROR(INDEX(Dataset!AA:AA,MATCH(_xlfn.AGGREGATE(14,6,Dataset!AK:AK/(Dataset!F:F=$D$11),B32),Dataset!AK:AK,0),1),"-")</f>
        <v>-</v>
      </c>
      <c r="H32" s="18" t="str">
        <f>IFERROR(INDEX(Dataset!AJ:AJ,MATCH(_xlfn.AGGREGATE(14,6,Dataset!AK:AK/(Dataset!F:F=$D$11),B32),Dataset!AK:AK,0),1),"-")</f>
        <v>-</v>
      </c>
      <c r="J32" s="12">
        <v>13</v>
      </c>
      <c r="K32" s="17" t="str">
        <f>IFERROR(INDEX(Dataset!G:G,MATCH(_xlfn.AGGREGATE(14,6,Dataset!I:I/(Dataset!F:F=$D$11),J32),Dataset!I:I,0),1),"-")</f>
        <v>-</v>
      </c>
      <c r="L32" s="17" t="str">
        <f>IFERROR(INDEX(Dataset!AK:AK,MATCH(_xlfn.AGGREGATE(14,6,Dataset!I:I/(Dataset!F:F=$D$11),J32),Dataset!I:I,0),1),"-")</f>
        <v>-</v>
      </c>
      <c r="M32" s="17" t="str">
        <f>IFERROR(INDEX(Dataset!I:I,MATCH(_xlfn.AGGREGATE(14,6,Dataset!I:I/(Dataset!F:F=$D$11),J32),Dataset!I:I,0),1),"-")</f>
        <v>-</v>
      </c>
      <c r="N32" s="17" t="e">
        <f>IFERROR(INDEX(Dataset!R:R,MATCH(_xlfn.AGGREGATE(14,6,Dataset!I:I/(Dataset!F:F=$D$11),J32),Dataset!I:I,0),1),"-")/100</f>
        <v>#VALUE!</v>
      </c>
      <c r="O32" s="17" t="str">
        <f>IFERROR(INDEX(Dataset!AA:AA,MATCH(_xlfn.AGGREGATE(14,6,Dataset!I:I/(Dataset!F:F=$D$11),J32),Dataset!I:I,0),1),"-")</f>
        <v>-</v>
      </c>
      <c r="P32" s="18" t="str">
        <f>IFERROR(INDEX(Dataset!AJ:AJ,MATCH(_xlfn.AGGREGATE(14,6,Dataset!I:I/(Dataset!F:F=$D$11),J32),Dataset!I:I,0),1),"-")</f>
        <v>-</v>
      </c>
    </row>
    <row r="33" spans="2:16" ht="29.25" customHeight="1" x14ac:dyDescent="0.5">
      <c r="B33" s="12">
        <v>14</v>
      </c>
      <c r="C33" s="17" t="str">
        <f>IFERROR(INDEX(Dataset!G:G,MATCH(_xlfn.AGGREGATE(14,6,Dataset!AK:AK/(Dataset!F:F=$D$11),B33),Dataset!AK:AK,0),1),"-")</f>
        <v>-</v>
      </c>
      <c r="D33" s="17" t="str">
        <f>IFERROR(INDEX(Dataset!AK:AK,MATCH(_xlfn.AGGREGATE(14,6,Dataset!AK:AK/(Dataset!F:F=$D$11),B33),Dataset!AK:AK,0),1),"-")</f>
        <v>-</v>
      </c>
      <c r="E33" s="17" t="str">
        <f>IFERROR(INDEX(Dataset!I:I,MATCH(_xlfn.AGGREGATE(14,6,Dataset!AK:AK/(Dataset!F:F=$D$11),B33),Dataset!AK:AK,0),1),"-")</f>
        <v>-</v>
      </c>
      <c r="F33" s="17" t="e">
        <f>IFERROR(INDEX(Dataset!R:R,MATCH(_xlfn.AGGREGATE(14,6,Dataset!AK:AK/(Dataset!F:F=$D$11),B33),Dataset!AK:AK,0),1),"-")/100</f>
        <v>#VALUE!</v>
      </c>
      <c r="G33" s="17" t="str">
        <f>IFERROR(INDEX(Dataset!AA:AA,MATCH(_xlfn.AGGREGATE(14,6,Dataset!AK:AK/(Dataset!F:F=$D$11),B33),Dataset!AK:AK,0),1),"-")</f>
        <v>-</v>
      </c>
      <c r="H33" s="18" t="str">
        <f>IFERROR(INDEX(Dataset!AJ:AJ,MATCH(_xlfn.AGGREGATE(14,6,Dataset!AK:AK/(Dataset!F:F=$D$11),B33),Dataset!AK:AK,0),1),"-")</f>
        <v>-</v>
      </c>
      <c r="J33" s="12">
        <v>14</v>
      </c>
      <c r="K33" s="17" t="str">
        <f>IFERROR(INDEX(Dataset!G:G,MATCH(_xlfn.AGGREGATE(14,6,Dataset!I:I/(Dataset!F:F=$D$11),J33),Dataset!I:I,0),1),"-")</f>
        <v>-</v>
      </c>
      <c r="L33" s="17" t="str">
        <f>IFERROR(INDEX(Dataset!AK:AK,MATCH(_xlfn.AGGREGATE(14,6,Dataset!I:I/(Dataset!F:F=$D$11),J33),Dataset!I:I,0),1),"-")</f>
        <v>-</v>
      </c>
      <c r="M33" s="17" t="str">
        <f>IFERROR(INDEX(Dataset!I:I,MATCH(_xlfn.AGGREGATE(14,6,Dataset!I:I/(Dataset!F:F=$D$11),J33),Dataset!I:I,0),1),"-")</f>
        <v>-</v>
      </c>
      <c r="N33" s="17" t="e">
        <f>IFERROR(INDEX(Dataset!R:R,MATCH(_xlfn.AGGREGATE(14,6,Dataset!I:I/(Dataset!F:F=$D$11),J33),Dataset!I:I,0),1),"-")/100</f>
        <v>#VALUE!</v>
      </c>
      <c r="O33" s="17" t="str">
        <f>IFERROR(INDEX(Dataset!AA:AA,MATCH(_xlfn.AGGREGATE(14,6,Dataset!I:I/(Dataset!F:F=$D$11),J33),Dataset!I:I,0),1),"-")</f>
        <v>-</v>
      </c>
      <c r="P33" s="18" t="str">
        <f>IFERROR(INDEX(Dataset!AJ:AJ,MATCH(_xlfn.AGGREGATE(14,6,Dataset!I:I/(Dataset!F:F=$D$11),J33),Dataset!I:I,0),1),"-")</f>
        <v>-</v>
      </c>
    </row>
    <row r="34" spans="2:16" ht="29.25" customHeight="1" x14ac:dyDescent="0.5">
      <c r="B34" s="12">
        <v>15</v>
      </c>
      <c r="C34" s="17" t="str">
        <f>IFERROR(INDEX(Dataset!G:G,MATCH(_xlfn.AGGREGATE(14,6,Dataset!AK:AK/(Dataset!F:F=$D$11),B34),Dataset!AK:AK,0),1),"-")</f>
        <v>-</v>
      </c>
      <c r="D34" s="17" t="str">
        <f>IFERROR(INDEX(Dataset!AK:AK,MATCH(_xlfn.AGGREGATE(14,6,Dataset!AK:AK/(Dataset!F:F=$D$11),B34),Dataset!AK:AK,0),1),"-")</f>
        <v>-</v>
      </c>
      <c r="E34" s="17" t="str">
        <f>IFERROR(INDEX(Dataset!I:I,MATCH(_xlfn.AGGREGATE(14,6,Dataset!AK:AK/(Dataset!F:F=$D$11),B34),Dataset!AK:AK,0),1),"-")</f>
        <v>-</v>
      </c>
      <c r="F34" s="17" t="e">
        <f>IFERROR(INDEX(Dataset!R:R,MATCH(_xlfn.AGGREGATE(14,6,Dataset!AK:AK/(Dataset!F:F=$D$11),B34),Dataset!AK:AK,0),1),"-")/100</f>
        <v>#VALUE!</v>
      </c>
      <c r="G34" s="17" t="str">
        <f>IFERROR(INDEX(Dataset!AA:AA,MATCH(_xlfn.AGGREGATE(14,6,Dataset!AK:AK/(Dataset!F:F=$D$11),B34),Dataset!AK:AK,0),1),"-")</f>
        <v>-</v>
      </c>
      <c r="H34" s="18" t="str">
        <f>IFERROR(INDEX(Dataset!AJ:AJ,MATCH(_xlfn.AGGREGATE(14,6,Dataset!AK:AK/(Dataset!F:F=$D$11),B34),Dataset!AK:AK,0),1),"-")</f>
        <v>-</v>
      </c>
      <c r="J34" s="12">
        <v>15</v>
      </c>
      <c r="K34" s="17" t="str">
        <f>IFERROR(INDEX(Dataset!G:G,MATCH(_xlfn.AGGREGATE(14,6,Dataset!I:I/(Dataset!F:F=$D$11),J34),Dataset!I:I,0),1),"-")</f>
        <v>-</v>
      </c>
      <c r="L34" s="17" t="str">
        <f>IFERROR(INDEX(Dataset!AK:AK,MATCH(_xlfn.AGGREGATE(14,6,Dataset!I:I/(Dataset!F:F=$D$11),J34),Dataset!I:I,0),1),"-")</f>
        <v>-</v>
      </c>
      <c r="M34" s="17" t="str">
        <f>IFERROR(INDEX(Dataset!I:I,MATCH(_xlfn.AGGREGATE(14,6,Dataset!I:I/(Dataset!F:F=$D$11),J34),Dataset!I:I,0),1),"-")</f>
        <v>-</v>
      </c>
      <c r="N34" s="17" t="e">
        <f>IFERROR(INDEX(Dataset!R:R,MATCH(_xlfn.AGGREGATE(14,6,Dataset!I:I/(Dataset!F:F=$D$11),J34),Dataset!I:I,0),1),"-")/100</f>
        <v>#VALUE!</v>
      </c>
      <c r="O34" s="17" t="str">
        <f>IFERROR(INDEX(Dataset!AA:AA,MATCH(_xlfn.AGGREGATE(14,6,Dataset!I:I/(Dataset!F:F=$D$11),J34),Dataset!I:I,0),1),"-")</f>
        <v>-</v>
      </c>
      <c r="P34" s="18" t="str">
        <f>IFERROR(INDEX(Dataset!AJ:AJ,MATCH(_xlfn.AGGREGATE(14,6,Dataset!I:I/(Dataset!F:F=$D$11),J34),Dataset!I:I,0),1),"-")</f>
        <v>-</v>
      </c>
    </row>
    <row r="35" spans="2:16" ht="29.25" customHeight="1" x14ac:dyDescent="0.2"/>
    <row r="36" spans="2:16" ht="36" x14ac:dyDescent="0.2">
      <c r="K36" s="192" t="s">
        <v>111</v>
      </c>
      <c r="L36" s="192"/>
      <c r="M36" s="192"/>
      <c r="N36" s="192"/>
      <c r="O36" s="192"/>
      <c r="P36" s="192"/>
    </row>
    <row r="38" spans="2:16" ht="26.25" x14ac:dyDescent="0.2">
      <c r="K38" s="11"/>
      <c r="L38" s="11" t="s">
        <v>66</v>
      </c>
      <c r="M38" s="11" t="s">
        <v>221</v>
      </c>
      <c r="N38" s="11" t="s">
        <v>71</v>
      </c>
      <c r="O38" s="11" t="s">
        <v>6</v>
      </c>
      <c r="P38" s="11" t="s">
        <v>21</v>
      </c>
    </row>
    <row r="39" spans="2:16" ht="33.75" x14ac:dyDescent="0.2">
      <c r="K39" s="12" t="s">
        <v>84</v>
      </c>
      <c r="L39" s="17">
        <f>SUMIFS(Dataset!AK:AK,Dataset!AE:AE,K39,Dataset!F:F,$D$11)</f>
        <v>0</v>
      </c>
      <c r="M39" s="17">
        <f>SUMIFS(Dataset!AJ:AJ,Dataset!AE:AE,K39,Dataset!F:F,$D$11)</f>
        <v>0</v>
      </c>
      <c r="N39" s="20">
        <f>SUMIFS(Dataset!V:V,Dataset!AE:AE,K39,Dataset!F:F,$D$11)/1000000</f>
        <v>0</v>
      </c>
      <c r="O39" s="17">
        <f>SUMIFS(Dataset!I:I,Dataset!AE:AE,K39,Dataset!F:F,$D$11)</f>
        <v>0</v>
      </c>
      <c r="P39" s="17">
        <f>SUMIFS(Dataset!AA:AA,Dataset!AE:AE,K39,Dataset!F:F,$D$11)</f>
        <v>0</v>
      </c>
    </row>
    <row r="40" spans="2:16" ht="33.75" x14ac:dyDescent="0.2">
      <c r="K40" s="12" t="s">
        <v>43</v>
      </c>
      <c r="L40" s="17">
        <f>SUMIFS(Dataset!AK:AK,Dataset!AE:AE,K40,Dataset!F:F,$D$11)</f>
        <v>0</v>
      </c>
      <c r="M40" s="17">
        <f>SUMIFS(Dataset!AJ:AJ,Dataset!AE:AE,K40,Dataset!F:F,$D$11)</f>
        <v>0</v>
      </c>
      <c r="N40" s="20">
        <f>SUMIFS(Dataset!V:V,Dataset!AE:AE,K40,Dataset!F:F,$D$11)/1000000</f>
        <v>0</v>
      </c>
      <c r="O40" s="17">
        <f>SUMIFS(Dataset!I:I,Dataset!AE:AE,K40,Dataset!F:F,$D$11)</f>
        <v>0</v>
      </c>
      <c r="P40" s="17">
        <f>SUMIFS(Dataset!AA:AA,Dataset!AE:AE,K40,Dataset!F:F,$D$11)</f>
        <v>0</v>
      </c>
    </row>
    <row r="41" spans="2:16" ht="33.75" x14ac:dyDescent="0.2">
      <c r="K41" s="12" t="s">
        <v>167</v>
      </c>
      <c r="L41" s="17">
        <f>SUMIFS(Dataset!AK:AK,Dataset!AE:AE,K41,Dataset!F:F,$D$11)</f>
        <v>0</v>
      </c>
      <c r="M41" s="17">
        <f>SUMIFS(Dataset!AJ:AJ,Dataset!AE:AE,K41,Dataset!F:F,$D$11)</f>
        <v>0</v>
      </c>
      <c r="N41" s="20">
        <f>SUMIFS(Dataset!V:V,Dataset!AE:AE,K41,Dataset!F:F,$D$11)/1000000</f>
        <v>0</v>
      </c>
      <c r="O41" s="17">
        <f>SUMIFS(Dataset!I:I,Dataset!AE:AE,K41,Dataset!F:F,$D$11)</f>
        <v>0</v>
      </c>
      <c r="P41" s="17">
        <f>SUMIFS(Dataset!AA:AA,Dataset!AE:AE,K41,Dataset!F:F,$D$11)</f>
        <v>0</v>
      </c>
    </row>
    <row r="42" spans="2:16" ht="33.75" x14ac:dyDescent="0.2">
      <c r="K42" s="12" t="s">
        <v>35</v>
      </c>
      <c r="L42" s="17">
        <f>SUMIFS(Dataset!AK:AK,Dataset!AE:AE,K42,Dataset!F:F,$D$11)</f>
        <v>0</v>
      </c>
      <c r="M42" s="17">
        <f>SUMIFS(Dataset!AJ:AJ,Dataset!AE:AE,K42,Dataset!F:F,$D$11)</f>
        <v>0</v>
      </c>
      <c r="N42" s="20">
        <f>SUMIFS(Dataset!V:V,Dataset!AE:AE,K42,Dataset!F:F,$D$11)/1000000</f>
        <v>0</v>
      </c>
      <c r="O42" s="17">
        <f>SUMIFS(Dataset!I:I,Dataset!AE:AE,K42,Dataset!F:F,$D$11)</f>
        <v>0</v>
      </c>
      <c r="P42" s="17">
        <f>SUMIFS(Dataset!AA:AA,Dataset!AE:AE,K42,Dataset!F:F,$D$11)</f>
        <v>0</v>
      </c>
    </row>
    <row r="43" spans="2:16" ht="33.75" x14ac:dyDescent="0.2">
      <c r="K43" s="12" t="s">
        <v>38</v>
      </c>
      <c r="L43" s="17">
        <f>SUMIFS(Dataset!AK:AK,Dataset!AE:AE,K43,Dataset!F:F,$D$11)</f>
        <v>0</v>
      </c>
      <c r="M43" s="17">
        <f>SUMIFS(Dataset!AJ:AJ,Dataset!AE:AE,K43,Dataset!F:F,$D$11)</f>
        <v>0</v>
      </c>
      <c r="N43" s="20">
        <f>SUMIFS(Dataset!V:V,Dataset!AE:AE,K43,Dataset!F:F,$D$11)/1000000</f>
        <v>0</v>
      </c>
      <c r="O43" s="17">
        <f>SUMIFS(Dataset!I:I,Dataset!AE:AE,K43,Dataset!F:F,$D$11)</f>
        <v>0</v>
      </c>
      <c r="P43" s="17">
        <f>SUMIFS(Dataset!AA:AA,Dataset!AE:AE,K43,Dataset!F:F,$D$11)</f>
        <v>0</v>
      </c>
    </row>
    <row r="44" spans="2:16" ht="33.75" x14ac:dyDescent="0.2">
      <c r="K44" s="12" t="s">
        <v>166</v>
      </c>
      <c r="L44" s="17">
        <f>SUMIFS(Dataset!AK:AK,Dataset!AE:AE,K44,Dataset!F:F,$D$11)</f>
        <v>0</v>
      </c>
      <c r="M44" s="17">
        <f>SUMIFS(Dataset!AJ:AJ,Dataset!AE:AE,K44,Dataset!F:F,$D$11)</f>
        <v>0</v>
      </c>
      <c r="N44" s="20">
        <f>SUMIFS(Dataset!V:V,Dataset!AE:AE,K44,Dataset!F:F,$D$11)/1000000</f>
        <v>0</v>
      </c>
      <c r="O44" s="17">
        <f>SUMIFS(Dataset!I:I,Dataset!AE:AE,K44,Dataset!F:F,$D$11)</f>
        <v>0</v>
      </c>
      <c r="P44" s="17">
        <f>SUMIFS(Dataset!AA:AA,Dataset!AE:AE,K44,Dataset!F:F,$D$11)</f>
        <v>0</v>
      </c>
    </row>
    <row r="45" spans="2:16" ht="33.75" x14ac:dyDescent="0.2">
      <c r="K45" s="12" t="s">
        <v>157</v>
      </c>
      <c r="L45" s="17">
        <f>SUMIFS(Dataset!AK:AK,Dataset!AE:AE,K45,Dataset!F:F,$D$11)</f>
        <v>0</v>
      </c>
      <c r="M45" s="17">
        <f>SUMIFS(Dataset!AJ:AJ,Dataset!AE:AE,K45,Dataset!F:F,$D$11)</f>
        <v>0</v>
      </c>
      <c r="N45" s="20">
        <f>SUMIFS(Dataset!V:V,Dataset!AE:AE,K45,Dataset!F:F,$D$11)/1000000</f>
        <v>0</v>
      </c>
      <c r="O45" s="17">
        <f>SUMIFS(Dataset!I:I,Dataset!AE:AE,K45,Dataset!F:F,$D$11)</f>
        <v>0</v>
      </c>
      <c r="P45" s="17">
        <f>SUMIFS(Dataset!AA:AA,Dataset!AE:AE,K45,Dataset!F:F,$D$11)</f>
        <v>0</v>
      </c>
    </row>
    <row r="46" spans="2:16" ht="33.75" x14ac:dyDescent="0.2">
      <c r="K46" s="12" t="s">
        <v>41</v>
      </c>
      <c r="L46" s="17">
        <f>SUMIFS(Dataset!AK:AK,Dataset!AE:AE,K46,Dataset!F:F,$D$11)</f>
        <v>0</v>
      </c>
      <c r="M46" s="17">
        <f>SUMIFS(Dataset!AJ:AJ,Dataset!AE:AE,K46,Dataset!F:F,$D$11)</f>
        <v>0</v>
      </c>
      <c r="N46" s="20">
        <f>SUMIFS(Dataset!V:V,Dataset!AE:AE,K46,Dataset!F:F,$D$11)/1000000</f>
        <v>0</v>
      </c>
      <c r="O46" s="17">
        <f>SUMIFS(Dataset!I:I,Dataset!AE:AE,K46,Dataset!F:F,$D$11)</f>
        <v>0</v>
      </c>
      <c r="P46" s="17">
        <f>SUMIFS(Dataset!AA:AA,Dataset!AE:AE,K46,Dataset!F:F,$D$11)</f>
        <v>0</v>
      </c>
    </row>
    <row r="47" spans="2:16" ht="33.75" x14ac:dyDescent="0.2">
      <c r="K47" s="12" t="s">
        <v>44</v>
      </c>
      <c r="L47" s="17">
        <f>SUMIFS(Dataset!AK:AK,Dataset!AE:AE,K47,Dataset!F:F,$D$11)</f>
        <v>0</v>
      </c>
      <c r="M47" s="17">
        <f>SUMIFS(Dataset!AJ:AJ,Dataset!AE:AE,K47,Dataset!F:F,$D$11)</f>
        <v>0</v>
      </c>
      <c r="N47" s="20">
        <f>SUMIFS(Dataset!V:V,Dataset!AE:AE,K47,Dataset!F:F,$D$11)/1000000</f>
        <v>0</v>
      </c>
      <c r="O47" s="17">
        <f>SUMIFS(Dataset!I:I,Dataset!AE:AE,K47,Dataset!F:F,$D$11)</f>
        <v>0</v>
      </c>
      <c r="P47" s="17">
        <f>SUMIFS(Dataset!AA:AA,Dataset!AE:AE,K47,Dataset!F:F,$D$11)</f>
        <v>0</v>
      </c>
    </row>
    <row r="48" spans="2:16" ht="33.75" x14ac:dyDescent="0.2">
      <c r="K48" s="12" t="s">
        <v>168</v>
      </c>
      <c r="L48" s="17">
        <f>SUMIFS(Dataset!AK:AK,Dataset!AE:AE,K48,Dataset!F:F,$D$11)</f>
        <v>0</v>
      </c>
      <c r="M48" s="17">
        <f>SUMIFS(Dataset!AJ:AJ,Dataset!AE:AE,K48,Dataset!F:F,$D$11)</f>
        <v>0</v>
      </c>
      <c r="N48" s="20">
        <f>SUMIFS(Dataset!V:V,Dataset!AE:AE,K48,Dataset!F:F,$D$11)/1000000</f>
        <v>0</v>
      </c>
      <c r="O48" s="17">
        <f>SUMIFS(Dataset!I:I,Dataset!AE:AE,K48,Dataset!F:F,$D$11)</f>
        <v>0</v>
      </c>
      <c r="P48" s="17">
        <f>SUMIFS(Dataset!AA:AA,Dataset!AE:AE,K48,Dataset!F:F,$D$11)</f>
        <v>0</v>
      </c>
    </row>
    <row r="49" spans="11:16" ht="33.75" x14ac:dyDescent="0.2">
      <c r="K49" s="12" t="s">
        <v>171</v>
      </c>
      <c r="L49" s="17">
        <f>SUMIFS(Dataset!AK:AK,Dataset!AE:AE,K49,Dataset!F:F,$D$11)</f>
        <v>0</v>
      </c>
      <c r="M49" s="17">
        <f>SUMIFS(Dataset!AJ:AJ,Dataset!AE:AE,K49,Dataset!F:F,$D$11)</f>
        <v>0</v>
      </c>
      <c r="N49" s="20">
        <f>SUMIFS(Dataset!V:V,Dataset!AE:AE,K49,Dataset!F:F,$D$11)/1000000</f>
        <v>0</v>
      </c>
      <c r="O49" s="17">
        <f>SUMIFS(Dataset!I:I,Dataset!AE:AE,K49,Dataset!F:F,$D$11)</f>
        <v>0</v>
      </c>
      <c r="P49" s="17">
        <f>SUMIFS(Dataset!AA:AA,Dataset!AE:AE,K49,Dataset!F:F,$D$11)</f>
        <v>0</v>
      </c>
    </row>
    <row r="50" spans="11:16" ht="33.75" x14ac:dyDescent="0.2">
      <c r="K50" s="12" t="s">
        <v>52</v>
      </c>
      <c r="L50" s="17">
        <f>SUMIFS(Dataset!AK:AK,Dataset!AE:AE,K50,Dataset!F:F,$D$11)</f>
        <v>0</v>
      </c>
      <c r="M50" s="17">
        <f>SUMIFS(Dataset!AJ:AJ,Dataset!AE:AE,K50,Dataset!F:F,$D$11)</f>
        <v>0</v>
      </c>
      <c r="N50" s="20">
        <f>SUMIFS(Dataset!V:V,Dataset!AE:AE,K50,Dataset!F:F,$D$11)/1000000</f>
        <v>0</v>
      </c>
      <c r="O50" s="17">
        <f>SUMIFS(Dataset!I:I,Dataset!AE:AE,K50,Dataset!F:F,$D$11)</f>
        <v>0</v>
      </c>
      <c r="P50" s="17">
        <f>SUMIFS(Dataset!AA:AA,Dataset!AE:AE,K50,Dataset!F:F,$D$11)</f>
        <v>0</v>
      </c>
    </row>
    <row r="51" spans="11:16" ht="33.75" x14ac:dyDescent="0.2">
      <c r="K51" s="12" t="s">
        <v>40</v>
      </c>
      <c r="L51" s="17">
        <f>SUMIFS(Dataset!AK:AK,Dataset!AE:AE,K51,Dataset!F:F,$D$11)</f>
        <v>0</v>
      </c>
      <c r="M51" s="17">
        <f>SUMIFS(Dataset!AJ:AJ,Dataset!AE:AE,K51,Dataset!F:F,$D$11)</f>
        <v>0</v>
      </c>
      <c r="N51" s="20">
        <f>SUMIFS(Dataset!V:V,Dataset!AE:AE,K51,Dataset!F:F,$D$11)/1000000</f>
        <v>0</v>
      </c>
      <c r="O51" s="17">
        <f>SUMIFS(Dataset!I:I,Dataset!AE:AE,K51,Dataset!F:F,$D$11)</f>
        <v>0</v>
      </c>
      <c r="P51" s="17">
        <f>SUMIFS(Dataset!AA:AA,Dataset!AE:AE,K51,Dataset!F:F,$D$11)</f>
        <v>0</v>
      </c>
    </row>
    <row r="52" spans="11:16" ht="33.75" x14ac:dyDescent="0.2">
      <c r="K52" s="12" t="s">
        <v>169</v>
      </c>
      <c r="L52" s="17">
        <f>SUMIFS(Dataset!AK:AK,Dataset!AE:AE,K52,Dataset!F:F,$D$11)</f>
        <v>0</v>
      </c>
      <c r="M52" s="17">
        <f>SUMIFS(Dataset!AJ:AJ,Dataset!AE:AE,K52,Dataset!F:F,$D$11)</f>
        <v>0</v>
      </c>
      <c r="N52" s="20">
        <f>SUMIFS(Dataset!V:V,Dataset!AE:AE,K52,Dataset!F:F,$D$11)/1000000</f>
        <v>0</v>
      </c>
      <c r="O52" s="17">
        <f>SUMIFS(Dataset!I:I,Dataset!AE:AE,K52,Dataset!F:F,$D$11)</f>
        <v>0</v>
      </c>
      <c r="P52" s="17">
        <f>SUMIFS(Dataset!AA:AA,Dataset!AE:AE,K52,Dataset!F:F,$D$11)</f>
        <v>0</v>
      </c>
    </row>
    <row r="53" spans="11:16" ht="33.75" x14ac:dyDescent="0.2">
      <c r="K53" s="12" t="s">
        <v>170</v>
      </c>
      <c r="L53" s="17">
        <f>SUMIFS(Dataset!AK:AK,Dataset!AE:AE,K53,Dataset!F:F,$D$11)</f>
        <v>0</v>
      </c>
      <c r="M53" s="17">
        <f>SUMIFS(Dataset!AJ:AJ,Dataset!AE:AE,K53,Dataset!F:F,$D$11)</f>
        <v>0</v>
      </c>
      <c r="N53" s="20">
        <f>SUMIFS(Dataset!V:V,Dataset!AE:AE,K53,Dataset!F:F,$D$11)/1000000</f>
        <v>0</v>
      </c>
      <c r="O53" s="17">
        <f>SUMIFS(Dataset!I:I,Dataset!AE:AE,K53,Dataset!F:F,$D$11)</f>
        <v>0</v>
      </c>
      <c r="P53" s="17">
        <f>SUMIFS(Dataset!AA:AA,Dataset!AE:AE,K53,Dataset!F:F,$D$11)</f>
        <v>0</v>
      </c>
    </row>
    <row r="54" spans="11:16" ht="33.75" x14ac:dyDescent="0.2">
      <c r="K54" s="12" t="s">
        <v>54</v>
      </c>
      <c r="L54" s="17">
        <f>SUMIFS(Dataset!AK:AK,Dataset!AE:AE,K54,Dataset!F:F,$D$11)</f>
        <v>0</v>
      </c>
      <c r="M54" s="17">
        <f>SUMIFS(Dataset!AJ:AJ,Dataset!AE:AE,K54,Dataset!F:F,$D$11)</f>
        <v>0</v>
      </c>
      <c r="N54" s="20">
        <f>SUMIFS(Dataset!V:V,Dataset!AE:AE,K54,Dataset!F:F,$D$11)/1000000</f>
        <v>0</v>
      </c>
      <c r="O54" s="17">
        <f>SUMIFS(Dataset!I:I,Dataset!AE:AE,K54,Dataset!F:F,$D$11)</f>
        <v>0</v>
      </c>
      <c r="P54" s="17">
        <f>SUMIFS(Dataset!AA:AA,Dataset!AE:AE,K54,Dataset!F:F,$D$11)</f>
        <v>0</v>
      </c>
    </row>
    <row r="55" spans="11:16" ht="33.75" x14ac:dyDescent="0.2">
      <c r="K55" s="12" t="s">
        <v>53</v>
      </c>
      <c r="L55" s="17">
        <f>SUMIFS(Dataset!AK:AK,Dataset!AE:AE,K55,Dataset!F:F,$D$11)</f>
        <v>0</v>
      </c>
      <c r="M55" s="17">
        <f>SUMIFS(Dataset!AJ:AJ,Dataset!AE:AE,K55,Dataset!F:F,$D$11)</f>
        <v>0</v>
      </c>
      <c r="N55" s="20">
        <f>SUMIFS(Dataset!V:V,Dataset!AE:AE,K55,Dataset!F:F,$D$11)/1000000</f>
        <v>0</v>
      </c>
      <c r="O55" s="17">
        <f>SUMIFS(Dataset!I:I,Dataset!AE:AE,K55,Dataset!F:F,$D$11)</f>
        <v>0</v>
      </c>
      <c r="P55" s="17">
        <f>SUMIFS(Dataset!AA:AA,Dataset!AE:AE,K55,Dataset!F:F,$D$11)</f>
        <v>0</v>
      </c>
    </row>
    <row r="56" spans="11:16" ht="33.75" x14ac:dyDescent="0.2">
      <c r="K56" s="12" t="s">
        <v>85</v>
      </c>
      <c r="L56" s="17">
        <f>SUMIFS(Dataset!AK:AK,Dataset!AE:AE,K56,Dataset!F:F,$D$11)</f>
        <v>0</v>
      </c>
      <c r="M56" s="17">
        <f>SUMIFS(Dataset!AJ:AJ,Dataset!AE:AE,K56,Dataset!F:F,$D$11)</f>
        <v>0</v>
      </c>
      <c r="N56" s="20">
        <f>SUMIFS(Dataset!V:V,Dataset!AE:AE,K56,Dataset!F:F,$D$11)/1000000</f>
        <v>0</v>
      </c>
      <c r="O56" s="17">
        <f>SUMIFS(Dataset!I:I,Dataset!AE:AE,K56,Dataset!F:F,$D$11)</f>
        <v>0</v>
      </c>
      <c r="P56" s="17">
        <f>SUMIFS(Dataset!AA:AA,Dataset!AE:AE,K56,Dataset!F:F,$D$11)</f>
        <v>0</v>
      </c>
    </row>
    <row r="57" spans="11:16" ht="33.75" x14ac:dyDescent="0.2">
      <c r="K57" s="12" t="s">
        <v>104</v>
      </c>
      <c r="L57" s="17">
        <f>SUMIFS(Dataset!AK:AK,Dataset!AE:AE,K57,Dataset!F:F,$D$11)</f>
        <v>0</v>
      </c>
      <c r="M57" s="17">
        <f>SUMIFS(Dataset!AJ:AJ,Dataset!AE:AE,K57,Dataset!F:F,$D$11)</f>
        <v>0</v>
      </c>
      <c r="N57" s="20">
        <f>SUMIFS(Dataset!V:V,Dataset!AE:AE,K57,Dataset!F:F,$D$11)/1000000</f>
        <v>0</v>
      </c>
      <c r="O57" s="17">
        <f>SUMIFS(Dataset!I:I,Dataset!AE:AE,K57,Dataset!F:F,$D$11)</f>
        <v>0</v>
      </c>
      <c r="P57" s="17">
        <f>SUMIFS(Dataset!AA:AA,Dataset!AE:AE,K57,Dataset!F:F,$D$11)</f>
        <v>0</v>
      </c>
    </row>
    <row r="58" spans="11:16" ht="33.75" x14ac:dyDescent="0.2">
      <c r="K58" s="12" t="s">
        <v>45</v>
      </c>
      <c r="L58" s="17">
        <f>SUMIFS(Dataset!AK:AK,Dataset!AE:AE,K58,Dataset!F:F,$D$11)</f>
        <v>0</v>
      </c>
      <c r="M58" s="17">
        <f>SUMIFS(Dataset!AJ:AJ,Dataset!AE:AE,K58,Dataset!F:F,$D$11)</f>
        <v>0</v>
      </c>
      <c r="N58" s="20">
        <f>SUMIFS(Dataset!V:V,Dataset!AE:AE,K58,Dataset!F:F,$D$11)/1000000</f>
        <v>0</v>
      </c>
      <c r="O58" s="17">
        <f>SUMIFS(Dataset!I:I,Dataset!AE:AE,K58,Dataset!F:F,$D$11)</f>
        <v>0</v>
      </c>
      <c r="P58" s="17">
        <f>SUMIFS(Dataset!AA:AA,Dataset!AE:AE,K58,Dataset!F:F,$D$11)</f>
        <v>0</v>
      </c>
    </row>
    <row r="59" spans="11:16" ht="33.75" x14ac:dyDescent="0.2">
      <c r="K59" s="13" t="s">
        <v>62</v>
      </c>
      <c r="L59" s="19">
        <f>SUM(L39:L58)</f>
        <v>0</v>
      </c>
      <c r="M59" s="19">
        <f>SUM(M39:M58)</f>
        <v>0</v>
      </c>
      <c r="N59" s="21">
        <f>SUM(N39:N58)</f>
        <v>0</v>
      </c>
      <c r="O59" s="19">
        <f>SUM(O39:O58)</f>
        <v>0</v>
      </c>
      <c r="P59" s="19">
        <f>SUM(P39:P58)</f>
        <v>0</v>
      </c>
    </row>
    <row r="112" spans="2:16" ht="28.5" x14ac:dyDescent="0.2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 spans="2:16" ht="31.5" x14ac:dyDescent="0.5">
      <c r="B113" s="15" t="s">
        <v>70</v>
      </c>
      <c r="C113" s="10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2:16" ht="30" x14ac:dyDescent="0.4">
      <c r="C114" s="3"/>
    </row>
  </sheetData>
  <mergeCells count="5">
    <mergeCell ref="J17:P17"/>
    <mergeCell ref="B17:H17"/>
    <mergeCell ref="B3:P3"/>
    <mergeCell ref="B4:P4"/>
    <mergeCell ref="K36:P36"/>
  </mergeCells>
  <printOptions horizontalCentered="1"/>
  <pageMargins left="0" right="0" top="0" bottom="0" header="0" footer="0"/>
  <pageSetup scale="2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2"/>
  </sheetPr>
  <dimension ref="A1:AA2521"/>
  <sheetViews>
    <sheetView zoomScale="85" zoomScaleNormal="85" workbookViewId="0">
      <selection activeCell="H2" sqref="H2"/>
    </sheetView>
  </sheetViews>
  <sheetFormatPr baseColWidth="10" defaultRowHeight="14.25" x14ac:dyDescent="0.2"/>
  <cols>
    <col min="1" max="1" width="13.625" style="5" customWidth="1"/>
    <col min="3" max="3" width="14.875" customWidth="1"/>
    <col min="4" max="4" width="14.25" customWidth="1"/>
    <col min="7" max="7" width="13.5" customWidth="1"/>
    <col min="8" max="11" width="12.125" customWidth="1"/>
    <col min="13" max="13" width="12" bestFit="1" customWidth="1"/>
    <col min="16" max="16" width="11.875" bestFit="1" customWidth="1"/>
    <col min="17" max="18" width="11.875" customWidth="1"/>
  </cols>
  <sheetData>
    <row r="1" spans="1:27" x14ac:dyDescent="0.2">
      <c r="B1" t="s">
        <v>134</v>
      </c>
      <c r="C1" t="s">
        <v>174</v>
      </c>
      <c r="D1" t="s">
        <v>176</v>
      </c>
      <c r="E1" t="s">
        <v>175</v>
      </c>
      <c r="G1" t="s">
        <v>135</v>
      </c>
      <c r="H1" t="s">
        <v>134</v>
      </c>
      <c r="L1" t="s">
        <v>39</v>
      </c>
      <c r="M1" t="s">
        <v>32</v>
      </c>
      <c r="N1" t="s">
        <v>30</v>
      </c>
      <c r="O1" t="s">
        <v>47</v>
      </c>
      <c r="P1" t="s">
        <v>141</v>
      </c>
      <c r="Q1" t="s">
        <v>205</v>
      </c>
      <c r="R1" t="s">
        <v>164</v>
      </c>
      <c r="S1" t="s">
        <v>136</v>
      </c>
      <c r="T1" t="s">
        <v>137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</row>
    <row r="2" spans="1:27" x14ac:dyDescent="0.2">
      <c r="A2" s="5">
        <v>0</v>
      </c>
      <c r="B2" s="1">
        <v>43165</v>
      </c>
      <c r="C2" t="s">
        <v>29</v>
      </c>
      <c r="D2" t="s">
        <v>39</v>
      </c>
      <c r="E2">
        <v>-3.239016780407229E-6</v>
      </c>
      <c r="G2" t="s">
        <v>49</v>
      </c>
      <c r="H2" s="1">
        <v>43165</v>
      </c>
      <c r="I2">
        <v>19</v>
      </c>
      <c r="J2" s="1">
        <f>WORKDAY(Historical!$H$2,-I2)</f>
        <v>43138</v>
      </c>
      <c r="K2" s="1"/>
      <c r="L2" s="4">
        <f t="shared" ref="L2:Z21" si="0">SUMIFS($E:$E,$B:$B,$J2,$C:$C,$G$2,$D:$D,L$1)</f>
        <v>1.0285062322954761E-4</v>
      </c>
      <c r="M2" s="4">
        <f t="shared" si="0"/>
        <v>2.0477980758537542E-3</v>
      </c>
      <c r="N2" s="4">
        <f t="shared" si="0"/>
        <v>2.8759540633770841E-4</v>
      </c>
      <c r="O2" s="4">
        <f t="shared" si="0"/>
        <v>0</v>
      </c>
      <c r="P2" s="4">
        <f t="shared" si="0"/>
        <v>0</v>
      </c>
      <c r="Q2" s="4">
        <f t="shared" si="0"/>
        <v>0</v>
      </c>
      <c r="R2" s="4">
        <f t="shared" ref="R2:R21" si="1">SUMIFS($E:$E,$B:$B,$J2,$C:$C,$G$2,$D:$D,R$1)</f>
        <v>0</v>
      </c>
      <c r="S2" s="6">
        <f t="shared" si="0"/>
        <v>6.1616999652355773</v>
      </c>
      <c r="T2" s="7">
        <f>SUM(L2:P2)</f>
        <v>2.4382441054210105E-3</v>
      </c>
      <c r="U2" s="4">
        <f t="shared" si="0"/>
        <v>2.1230709742241461E-3</v>
      </c>
      <c r="V2" s="4">
        <f t="shared" si="0"/>
        <v>0</v>
      </c>
      <c r="W2" s="4">
        <f t="shared" si="0"/>
        <v>0</v>
      </c>
      <c r="X2" s="4">
        <f t="shared" si="0"/>
        <v>0</v>
      </c>
      <c r="Y2" s="4">
        <f t="shared" si="0"/>
        <v>0</v>
      </c>
      <c r="Z2" s="4">
        <f t="shared" si="0"/>
        <v>3.1517313119686411E-4</v>
      </c>
      <c r="AA2" s="7"/>
    </row>
    <row r="3" spans="1:27" x14ac:dyDescent="0.2">
      <c r="A3" s="5">
        <v>1</v>
      </c>
      <c r="B3" s="1">
        <v>43165</v>
      </c>
      <c r="C3" t="s">
        <v>29</v>
      </c>
      <c r="D3" t="s">
        <v>32</v>
      </c>
      <c r="E3">
        <v>1.0830507795545801E-3</v>
      </c>
      <c r="I3">
        <v>18</v>
      </c>
      <c r="J3" s="1">
        <f>WORKDAY(Historical!$H$2,-I3)</f>
        <v>43139</v>
      </c>
      <c r="K3" s="1"/>
      <c r="L3" s="4">
        <f t="shared" si="0"/>
        <v>1.0470406998784793E-4</v>
      </c>
      <c r="M3" s="4">
        <f t="shared" si="0"/>
        <v>1.9716519586502356E-3</v>
      </c>
      <c r="N3" s="4">
        <f t="shared" si="0"/>
        <v>2.9642374571073928E-4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1"/>
        <v>0</v>
      </c>
      <c r="S3" s="6">
        <f t="shared" si="0"/>
        <v>6.1657040365439144</v>
      </c>
      <c r="T3" s="7">
        <f t="shared" ref="T3:T21" si="2">SUM(L3:P3)</f>
        <v>2.3727797743488231E-3</v>
      </c>
      <c r="U3" s="4">
        <f t="shared" si="0"/>
        <v>2.1079331695274691E-3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2.6484660482135257E-4</v>
      </c>
      <c r="AA3" s="7"/>
    </row>
    <row r="4" spans="1:27" x14ac:dyDescent="0.2">
      <c r="A4" s="5">
        <v>2</v>
      </c>
      <c r="B4" s="1">
        <v>43165</v>
      </c>
      <c r="C4" t="s">
        <v>29</v>
      </c>
      <c r="D4" t="s">
        <v>30</v>
      </c>
      <c r="E4">
        <v>2.8898034904223651E-4</v>
      </c>
      <c r="I4">
        <v>17</v>
      </c>
      <c r="J4" s="1">
        <f>WORKDAY(Historical!$H$2,-I4)</f>
        <v>43140</v>
      </c>
      <c r="K4" s="1"/>
      <c r="L4" s="4">
        <f t="shared" si="0"/>
        <v>1.6520309570086363E-4</v>
      </c>
      <c r="M4" s="4">
        <f t="shared" si="0"/>
        <v>1.8856203401834749E-3</v>
      </c>
      <c r="N4" s="4">
        <f t="shared" si="0"/>
        <v>3.9140245903668345E-4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1"/>
        <v>0</v>
      </c>
      <c r="S4" s="6">
        <f t="shared" si="0"/>
        <v>6.1630295853928203</v>
      </c>
      <c r="T4" s="7">
        <f t="shared" si="2"/>
        <v>2.442225894921022E-3</v>
      </c>
      <c r="U4" s="4">
        <f t="shared" si="0"/>
        <v>1.7204416108667717E-3</v>
      </c>
      <c r="V4" s="4">
        <f t="shared" si="0"/>
        <v>0</v>
      </c>
      <c r="W4" s="4">
        <f t="shared" si="0"/>
        <v>0</v>
      </c>
      <c r="X4" s="4">
        <f t="shared" si="0"/>
        <v>0</v>
      </c>
      <c r="Y4" s="4">
        <f t="shared" si="0"/>
        <v>0</v>
      </c>
      <c r="Z4" s="4">
        <f t="shared" si="0"/>
        <v>7.2178428405425044E-4</v>
      </c>
      <c r="AA4" s="7"/>
    </row>
    <row r="5" spans="1:27" x14ac:dyDescent="0.2">
      <c r="A5" s="5">
        <v>3</v>
      </c>
      <c r="B5" s="1">
        <v>43165</v>
      </c>
      <c r="C5" t="s">
        <v>29</v>
      </c>
      <c r="D5" t="s">
        <v>47</v>
      </c>
      <c r="I5">
        <v>16</v>
      </c>
      <c r="J5" s="1">
        <f>WORKDAY(Historical!$H$2,-I5)</f>
        <v>43143</v>
      </c>
      <c r="K5" s="1"/>
      <c r="L5" s="4">
        <f t="shared" si="0"/>
        <v>1.9983864599943925E-4</v>
      </c>
      <c r="M5" s="4">
        <f t="shared" si="0"/>
        <v>1.8770509557925234E-3</v>
      </c>
      <c r="N5" s="4">
        <f t="shared" si="0"/>
        <v>5.02134787266412E-4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1"/>
        <v>0</v>
      </c>
      <c r="S5" s="6">
        <f t="shared" si="0"/>
        <v>6.1558528986497008</v>
      </c>
      <c r="T5" s="7">
        <f t="shared" si="2"/>
        <v>2.579024389058375E-3</v>
      </c>
      <c r="U5" s="4">
        <f t="shared" si="0"/>
        <v>2.0565004539812967E-3</v>
      </c>
      <c r="V5" s="4">
        <f t="shared" si="0"/>
        <v>0</v>
      </c>
      <c r="W5" s="4">
        <f t="shared" si="0"/>
        <v>0</v>
      </c>
      <c r="X5" s="4">
        <f t="shared" si="0"/>
        <v>0</v>
      </c>
      <c r="Y5" s="4">
        <f t="shared" si="0"/>
        <v>0</v>
      </c>
      <c r="Z5" s="4">
        <f t="shared" si="0"/>
        <v>5.2252393507707913E-4</v>
      </c>
      <c r="AA5" s="7"/>
    </row>
    <row r="6" spans="1:27" x14ac:dyDescent="0.2">
      <c r="A6" s="5">
        <v>4</v>
      </c>
      <c r="B6" s="1">
        <v>43165</v>
      </c>
      <c r="C6" t="s">
        <v>29</v>
      </c>
      <c r="D6" t="s">
        <v>141</v>
      </c>
      <c r="I6">
        <v>15</v>
      </c>
      <c r="J6" s="1">
        <f>WORKDAY(Historical!$H$2,-I6)</f>
        <v>43144</v>
      </c>
      <c r="K6" s="1"/>
      <c r="L6" s="4">
        <f t="shared" si="0"/>
        <v>2.0066937468111155E-4</v>
      </c>
      <c r="M6" s="4">
        <f t="shared" si="0"/>
        <v>1.8090559571263135E-3</v>
      </c>
      <c r="N6" s="4">
        <f t="shared" si="0"/>
        <v>4.8985419542528746E-4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1"/>
        <v>0</v>
      </c>
      <c r="S6" s="6">
        <f t="shared" si="0"/>
        <v>6.1573138435612957</v>
      </c>
      <c r="T6" s="7">
        <f t="shared" si="2"/>
        <v>2.4995795272327124E-3</v>
      </c>
      <c r="U6" s="4">
        <f t="shared" si="0"/>
        <v>2.0168372338512891E-3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4.8274229338142227E-4</v>
      </c>
      <c r="AA6" s="7"/>
    </row>
    <row r="7" spans="1:27" x14ac:dyDescent="0.2">
      <c r="A7" s="5">
        <v>5</v>
      </c>
      <c r="B7" s="1">
        <v>43165</v>
      </c>
      <c r="C7" t="s">
        <v>29</v>
      </c>
      <c r="D7" t="s">
        <v>205</v>
      </c>
      <c r="I7">
        <v>14</v>
      </c>
      <c r="J7" s="1">
        <f>WORKDAY(Historical!$H$2,-I7)</f>
        <v>43145</v>
      </c>
      <c r="L7" s="4">
        <f t="shared" si="0"/>
        <v>1.8897241949105713E-4</v>
      </c>
      <c r="M7" s="4">
        <f t="shared" si="0"/>
        <v>1.9501078750352341E-3</v>
      </c>
      <c r="N7" s="4">
        <f t="shared" si="0"/>
        <v>5.2671888287602242E-4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1"/>
        <v>0</v>
      </c>
      <c r="S7" s="6">
        <f t="shared" si="0"/>
        <v>6.1367206483495735</v>
      </c>
      <c r="T7" s="7">
        <f t="shared" si="2"/>
        <v>2.6657991774023137E-3</v>
      </c>
      <c r="U7" s="4">
        <f t="shared" si="0"/>
        <v>1.8035302805058592E-3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8.6226889689645318E-4</v>
      </c>
      <c r="AA7" s="7"/>
    </row>
    <row r="8" spans="1:27" x14ac:dyDescent="0.2">
      <c r="A8" s="5">
        <v>6</v>
      </c>
      <c r="B8" s="1">
        <v>43165</v>
      </c>
      <c r="C8" t="s">
        <v>29</v>
      </c>
      <c r="D8" t="s">
        <v>164</v>
      </c>
      <c r="I8">
        <v>13</v>
      </c>
      <c r="J8" s="1">
        <f>WORKDAY(Historical!$H$2,-I8)</f>
        <v>43146</v>
      </c>
      <c r="L8" s="4">
        <f t="shared" si="0"/>
        <v>1.9740715158478631E-4</v>
      </c>
      <c r="M8" s="4">
        <f t="shared" si="0"/>
        <v>1.8740869511972046E-3</v>
      </c>
      <c r="N8" s="4">
        <f t="shared" si="0"/>
        <v>5.5973939065505883E-4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1"/>
        <v>0</v>
      </c>
      <c r="S8" s="6">
        <f t="shared" si="0"/>
        <v>6.1296179312083954</v>
      </c>
      <c r="T8" s="7">
        <f t="shared" si="2"/>
        <v>2.6312334934370496E-3</v>
      </c>
      <c r="U8" s="4">
        <f t="shared" si="0"/>
        <v>1.5817231137309812E-3</v>
      </c>
      <c r="V8" s="4">
        <f t="shared" si="0"/>
        <v>0</v>
      </c>
      <c r="W8" s="4">
        <f t="shared" si="0"/>
        <v>0</v>
      </c>
      <c r="X8" s="4">
        <f t="shared" si="0"/>
        <v>0</v>
      </c>
      <c r="Y8" s="4">
        <f t="shared" si="0"/>
        <v>0</v>
      </c>
      <c r="Z8" s="4">
        <f t="shared" si="0"/>
        <v>1.0495103797060691E-3</v>
      </c>
      <c r="AA8" s="7"/>
    </row>
    <row r="9" spans="1:27" x14ac:dyDescent="0.2">
      <c r="A9" s="5">
        <v>7</v>
      </c>
      <c r="B9" s="1">
        <v>43165</v>
      </c>
      <c r="C9" t="s">
        <v>29</v>
      </c>
      <c r="D9" t="s">
        <v>68</v>
      </c>
      <c r="E9">
        <v>4.6526895309136922</v>
      </c>
      <c r="I9">
        <v>12</v>
      </c>
      <c r="J9" s="1">
        <f>WORKDAY(Historical!$H$2,-I9)</f>
        <v>43147</v>
      </c>
      <c r="L9" s="4">
        <f t="shared" si="0"/>
        <v>1.7984419367707814E-4</v>
      </c>
      <c r="M9" s="4">
        <f t="shared" si="0"/>
        <v>1.8581676872611898E-3</v>
      </c>
      <c r="N9" s="4">
        <f t="shared" si="0"/>
        <v>5.5161740074683254E-4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1"/>
        <v>0</v>
      </c>
      <c r="S9" s="6">
        <f t="shared" si="0"/>
        <v>6.1234010373672874</v>
      </c>
      <c r="T9" s="7">
        <f t="shared" si="2"/>
        <v>2.5896292816851001E-3</v>
      </c>
      <c r="U9" s="4">
        <f t="shared" si="0"/>
        <v>1.5164129804155675E-3</v>
      </c>
      <c r="V9" s="4">
        <f t="shared" si="0"/>
        <v>0</v>
      </c>
      <c r="W9" s="4">
        <f t="shared" si="0"/>
        <v>0</v>
      </c>
      <c r="X9" s="4">
        <f t="shared" si="0"/>
        <v>0</v>
      </c>
      <c r="Y9" s="4">
        <f t="shared" si="0"/>
        <v>0</v>
      </c>
      <c r="Z9" s="4">
        <f t="shared" si="0"/>
        <v>1.0732163012695331E-3</v>
      </c>
      <c r="AA9" s="7"/>
    </row>
    <row r="10" spans="1:27" x14ac:dyDescent="0.2">
      <c r="A10" s="5">
        <v>8</v>
      </c>
      <c r="B10" s="1">
        <v>43165</v>
      </c>
      <c r="C10" t="s">
        <v>29</v>
      </c>
      <c r="D10" t="s">
        <v>177</v>
      </c>
      <c r="E10">
        <v>6.6723653716893952E-4</v>
      </c>
      <c r="I10">
        <v>11</v>
      </c>
      <c r="J10" s="1">
        <f>WORKDAY(Historical!$H$2,-I10)</f>
        <v>43150</v>
      </c>
      <c r="L10" s="4">
        <f t="shared" si="0"/>
        <v>1.6640170711436602E-4</v>
      </c>
      <c r="M10" s="4">
        <f t="shared" si="0"/>
        <v>1.9640871485450419E-3</v>
      </c>
      <c r="N10" s="4">
        <f t="shared" si="0"/>
        <v>4.4650300389859315E-4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1"/>
        <v>0</v>
      </c>
      <c r="S10" s="6">
        <f t="shared" si="0"/>
        <v>6.121389279921325</v>
      </c>
      <c r="T10" s="7">
        <f t="shared" si="2"/>
        <v>2.576991859558001E-3</v>
      </c>
      <c r="U10" s="4">
        <f t="shared" si="0"/>
        <v>1.2429235386564926E-3</v>
      </c>
      <c r="V10" s="4">
        <f t="shared" si="0"/>
        <v>0</v>
      </c>
      <c r="W10" s="4">
        <f t="shared" si="0"/>
        <v>0</v>
      </c>
      <c r="X10" s="4">
        <f t="shared" si="0"/>
        <v>0</v>
      </c>
      <c r="Y10" s="4">
        <f t="shared" si="0"/>
        <v>0</v>
      </c>
      <c r="Z10" s="4">
        <f t="shared" si="0"/>
        <v>1.3340683209015086E-3</v>
      </c>
      <c r="AA10" s="7"/>
    </row>
    <row r="11" spans="1:27" x14ac:dyDescent="0.2">
      <c r="A11" s="5">
        <v>9</v>
      </c>
      <c r="B11" s="1">
        <v>43165</v>
      </c>
      <c r="C11" t="s">
        <v>29</v>
      </c>
      <c r="D11" t="s">
        <v>178</v>
      </c>
      <c r="I11">
        <v>10</v>
      </c>
      <c r="J11" s="1">
        <f>WORKDAY(Historical!$H$2,-I11)</f>
        <v>43151</v>
      </c>
      <c r="L11" s="4">
        <f t="shared" si="0"/>
        <v>1.4922825173286646E-4</v>
      </c>
      <c r="M11" s="4">
        <f t="shared" si="0"/>
        <v>2.2969359589717626E-3</v>
      </c>
      <c r="N11" s="4">
        <f t="shared" si="0"/>
        <v>3.5248516914822053E-4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1"/>
        <v>0</v>
      </c>
      <c r="S11" s="6">
        <f t="shared" si="0"/>
        <v>6.1224102062357977</v>
      </c>
      <c r="T11" s="7">
        <f t="shared" si="2"/>
        <v>2.7986493798528495E-3</v>
      </c>
      <c r="U11" s="4">
        <f t="shared" si="0"/>
        <v>1.1494978474838036E-3</v>
      </c>
      <c r="V11" s="4">
        <f t="shared" si="0"/>
        <v>0</v>
      </c>
      <c r="W11" s="4">
        <f t="shared" si="0"/>
        <v>0</v>
      </c>
      <c r="X11" s="4">
        <f t="shared" si="0"/>
        <v>0</v>
      </c>
      <c r="Y11" s="4">
        <f t="shared" si="0"/>
        <v>0</v>
      </c>
      <c r="Z11" s="4">
        <f t="shared" si="0"/>
        <v>1.6491515323690464E-3</v>
      </c>
      <c r="AA11" s="7"/>
    </row>
    <row r="12" spans="1:27" x14ac:dyDescent="0.2">
      <c r="A12" s="5">
        <v>10</v>
      </c>
      <c r="B12" s="1">
        <v>43165</v>
      </c>
      <c r="C12" t="s">
        <v>29</v>
      </c>
      <c r="D12" t="s">
        <v>179</v>
      </c>
      <c r="I12">
        <v>9</v>
      </c>
      <c r="J12" s="1">
        <f>WORKDAY(Historical!$H$2,-I12)</f>
        <v>43152</v>
      </c>
      <c r="L12" s="4">
        <f t="shared" si="0"/>
        <v>1.4813083336754046E-4</v>
      </c>
      <c r="M12" s="4">
        <f t="shared" si="0"/>
        <v>2.2296159172682127E-3</v>
      </c>
      <c r="N12" s="4">
        <f t="shared" si="0"/>
        <v>3.3376862278063421E-4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1"/>
        <v>0</v>
      </c>
      <c r="S12" s="6">
        <f t="shared" si="0"/>
        <v>6.1226877953984848</v>
      </c>
      <c r="T12" s="7">
        <f t="shared" si="2"/>
        <v>2.7115153734163875E-3</v>
      </c>
      <c r="U12" s="4">
        <f t="shared" si="0"/>
        <v>1.0844936268768464E-3</v>
      </c>
      <c r="V12" s="4">
        <f t="shared" si="0"/>
        <v>0</v>
      </c>
      <c r="W12" s="4">
        <f t="shared" si="0"/>
        <v>0</v>
      </c>
      <c r="X12" s="4">
        <f t="shared" si="0"/>
        <v>0</v>
      </c>
      <c r="Y12" s="4">
        <f t="shared" si="0"/>
        <v>0</v>
      </c>
      <c r="Z12" s="4">
        <f t="shared" si="0"/>
        <v>1.6270217465395422E-3</v>
      </c>
      <c r="AA12" s="7"/>
    </row>
    <row r="13" spans="1:27" x14ac:dyDescent="0.2">
      <c r="A13" s="5">
        <v>11</v>
      </c>
      <c r="B13" s="1">
        <v>43165</v>
      </c>
      <c r="C13" t="s">
        <v>29</v>
      </c>
      <c r="D13" t="s">
        <v>180</v>
      </c>
      <c r="I13">
        <v>8</v>
      </c>
      <c r="J13" s="1">
        <f>WORKDAY(Historical!$H$2,-I13)</f>
        <v>43153</v>
      </c>
      <c r="L13" s="4">
        <f t="shared" si="0"/>
        <v>1.4637234188932634E-4</v>
      </c>
      <c r="M13" s="4">
        <f t="shared" si="0"/>
        <v>2.2693211503535394E-3</v>
      </c>
      <c r="N13" s="4">
        <f t="shared" si="0"/>
        <v>2.8788964452329969E-4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1"/>
        <v>0</v>
      </c>
      <c r="S13" s="6">
        <f t="shared" si="0"/>
        <v>6.1206812269886894</v>
      </c>
      <c r="T13" s="7">
        <f t="shared" si="2"/>
        <v>2.7035831367661655E-3</v>
      </c>
      <c r="U13" s="4">
        <f t="shared" si="0"/>
        <v>9.4456245690519372E-4</v>
      </c>
      <c r="V13" s="4">
        <f t="shared" si="0"/>
        <v>0</v>
      </c>
      <c r="W13" s="4">
        <f t="shared" si="0"/>
        <v>0</v>
      </c>
      <c r="X13" s="4">
        <f t="shared" si="0"/>
        <v>0</v>
      </c>
      <c r="Y13" s="4">
        <f t="shared" si="0"/>
        <v>0</v>
      </c>
      <c r="Z13" s="4">
        <f t="shared" si="0"/>
        <v>1.7590206798609709E-3</v>
      </c>
      <c r="AA13" s="7"/>
    </row>
    <row r="14" spans="1:27" x14ac:dyDescent="0.2">
      <c r="A14" s="5">
        <v>12</v>
      </c>
      <c r="B14" s="1">
        <v>43165</v>
      </c>
      <c r="C14" t="s">
        <v>29</v>
      </c>
      <c r="D14" t="s">
        <v>181</v>
      </c>
      <c r="I14">
        <v>7</v>
      </c>
      <c r="J14" s="1">
        <f>WORKDAY(Historical!$H$2,-I14)</f>
        <v>43154</v>
      </c>
      <c r="L14" s="4">
        <f t="shared" si="0"/>
        <v>1.4858697331068189E-4</v>
      </c>
      <c r="M14" s="4">
        <f t="shared" si="0"/>
        <v>2.2325669468179713E-3</v>
      </c>
      <c r="N14" s="4">
        <f t="shared" si="0"/>
        <v>2.6116892182246069E-4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1"/>
        <v>0</v>
      </c>
      <c r="S14" s="6">
        <f t="shared" si="0"/>
        <v>6.1177676715094789</v>
      </c>
      <c r="T14" s="7">
        <f t="shared" si="2"/>
        <v>2.6423228419511142E-3</v>
      </c>
      <c r="U14" s="4">
        <f t="shared" si="0"/>
        <v>9.3862171023446038E-4</v>
      </c>
      <c r="V14" s="4">
        <f t="shared" si="0"/>
        <v>0</v>
      </c>
      <c r="W14" s="4">
        <f t="shared" si="0"/>
        <v>0</v>
      </c>
      <c r="X14" s="4">
        <f t="shared" si="0"/>
        <v>0</v>
      </c>
      <c r="Y14" s="4">
        <f t="shared" si="0"/>
        <v>0</v>
      </c>
      <c r="Z14" s="4">
        <f t="shared" si="0"/>
        <v>1.7037011317166532E-3</v>
      </c>
      <c r="AA14" s="7"/>
    </row>
    <row r="15" spans="1:27" x14ac:dyDescent="0.2">
      <c r="A15" s="5">
        <v>13</v>
      </c>
      <c r="B15" s="1">
        <v>43165</v>
      </c>
      <c r="C15" t="s">
        <v>29</v>
      </c>
      <c r="D15" t="s">
        <v>182</v>
      </c>
      <c r="E15">
        <v>7.0155557464747064E-4</v>
      </c>
      <c r="I15">
        <v>6</v>
      </c>
      <c r="J15" s="1">
        <f>WORKDAY(Historical!$H$2,-I15)</f>
        <v>43157</v>
      </c>
      <c r="L15" s="4">
        <f t="shared" si="0"/>
        <v>1.3835223148752927E-4</v>
      </c>
      <c r="M15" s="4">
        <f t="shared" si="0"/>
        <v>2.2359011913689218E-3</v>
      </c>
      <c r="N15" s="4">
        <f t="shared" si="0"/>
        <v>1.2081976642342418E-4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1"/>
        <v>0</v>
      </c>
      <c r="S15" s="6">
        <f t="shared" si="0"/>
        <v>6.118177740245641</v>
      </c>
      <c r="T15" s="7">
        <f t="shared" si="2"/>
        <v>2.4950731892798752E-3</v>
      </c>
      <c r="U15" s="4">
        <f t="shared" si="0"/>
        <v>7.7485530928548911E-4</v>
      </c>
      <c r="V15" s="4">
        <f t="shared" si="0"/>
        <v>0</v>
      </c>
      <c r="W15" s="4">
        <f t="shared" si="0"/>
        <v>0</v>
      </c>
      <c r="X15" s="4">
        <f t="shared" si="0"/>
        <v>0</v>
      </c>
      <c r="Y15" s="4">
        <f t="shared" si="0"/>
        <v>0</v>
      </c>
      <c r="Z15" s="4">
        <f t="shared" si="0"/>
        <v>1.7202178799943875E-3</v>
      </c>
      <c r="AA15" s="7"/>
    </row>
    <row r="16" spans="1:27" x14ac:dyDescent="0.2">
      <c r="A16" s="5">
        <v>14</v>
      </c>
      <c r="B16" s="1">
        <v>43165</v>
      </c>
      <c r="C16" t="s">
        <v>49</v>
      </c>
      <c r="D16" t="s">
        <v>39</v>
      </c>
      <c r="E16">
        <v>1.0684140631584825E-4</v>
      </c>
      <c r="I16">
        <v>5</v>
      </c>
      <c r="J16" s="1">
        <f>WORKDAY(Historical!$H$2,-I16)</f>
        <v>43158</v>
      </c>
      <c r="L16" s="4">
        <f t="shared" si="0"/>
        <v>1.280810167589366E-4</v>
      </c>
      <c r="M16" s="4">
        <f t="shared" si="0"/>
        <v>2.1660831367733622E-3</v>
      </c>
      <c r="N16" s="4">
        <f t="shared" si="0"/>
        <v>1.3475012852323193E-4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1"/>
        <v>0</v>
      </c>
      <c r="S16" s="6">
        <f t="shared" si="0"/>
        <v>6.1104830744520608</v>
      </c>
      <c r="T16" s="7">
        <f t="shared" si="2"/>
        <v>2.4289142820555307E-3</v>
      </c>
      <c r="U16" s="4">
        <f t="shared" si="0"/>
        <v>7.6836617966919048E-4</v>
      </c>
      <c r="V16" s="4">
        <f t="shared" si="0"/>
        <v>0</v>
      </c>
      <c r="W16" s="4">
        <f t="shared" si="0"/>
        <v>0</v>
      </c>
      <c r="X16" s="4">
        <f t="shared" si="0"/>
        <v>0</v>
      </c>
      <c r="Y16" s="4">
        <f t="shared" si="0"/>
        <v>0</v>
      </c>
      <c r="Z16" s="4">
        <f t="shared" si="0"/>
        <v>1.6605481023863405E-3</v>
      </c>
      <c r="AA16" s="7"/>
    </row>
    <row r="17" spans="1:27" x14ac:dyDescent="0.2">
      <c r="A17" s="5">
        <v>15</v>
      </c>
      <c r="B17" s="1">
        <v>43165</v>
      </c>
      <c r="C17" t="s">
        <v>49</v>
      </c>
      <c r="D17" t="s">
        <v>32</v>
      </c>
      <c r="E17">
        <v>2.0223172332502226E-3</v>
      </c>
      <c r="I17">
        <v>4</v>
      </c>
      <c r="J17" s="1">
        <f>WORKDAY(Historical!$H$2,-I17)</f>
        <v>43159</v>
      </c>
      <c r="L17" s="4">
        <f t="shared" si="0"/>
        <v>1.1506894299214065E-4</v>
      </c>
      <c r="M17" s="4">
        <f t="shared" si="0"/>
        <v>2.2148074949615462E-3</v>
      </c>
      <c r="N17" s="4">
        <f t="shared" si="0"/>
        <v>8.850903108590985E-5</v>
      </c>
      <c r="O17" s="4">
        <f t="shared" si="0"/>
        <v>0</v>
      </c>
      <c r="P17" s="4">
        <f t="shared" si="0"/>
        <v>0</v>
      </c>
      <c r="Q17" s="4">
        <f>SUMIFS($E:$E,$B:$B,$J17,$C:$C,$G$2,$D:$D,Q$1)</f>
        <v>0</v>
      </c>
      <c r="R17" s="4">
        <f t="shared" si="1"/>
        <v>0</v>
      </c>
      <c r="S17" s="6">
        <f t="shared" si="0"/>
        <v>6.1178569324078778</v>
      </c>
      <c r="T17" s="7">
        <f t="shared" si="2"/>
        <v>2.418385469039597E-3</v>
      </c>
      <c r="U17" s="4">
        <f t="shared" si="0"/>
        <v>5.145737774329167E-4</v>
      </c>
      <c r="V17" s="4">
        <f t="shared" si="0"/>
        <v>0</v>
      </c>
      <c r="W17" s="4">
        <f t="shared" si="0"/>
        <v>0</v>
      </c>
      <c r="X17" s="4">
        <f t="shared" si="0"/>
        <v>0</v>
      </c>
      <c r="Y17" s="4">
        <f t="shared" si="0"/>
        <v>0</v>
      </c>
      <c r="Z17" s="4">
        <f t="shared" si="0"/>
        <v>1.9038116916066802E-3</v>
      </c>
      <c r="AA17" s="7"/>
    </row>
    <row r="18" spans="1:27" x14ac:dyDescent="0.2">
      <c r="A18" s="5">
        <v>16</v>
      </c>
      <c r="B18" s="1">
        <v>43165</v>
      </c>
      <c r="C18" t="s">
        <v>49</v>
      </c>
      <c r="D18" t="s">
        <v>30</v>
      </c>
      <c r="E18">
        <v>2.6200876553227092E-4</v>
      </c>
      <c r="I18">
        <v>3</v>
      </c>
      <c r="J18" s="1">
        <f>WORKDAY(Historical!$H$2,-I18)</f>
        <v>43160</v>
      </c>
      <c r="L18" s="4">
        <f t="shared" si="0"/>
        <v>1.1601443864114114E-4</v>
      </c>
      <c r="M18" s="4">
        <f t="shared" si="0"/>
        <v>2.068451258090684E-3</v>
      </c>
      <c r="N18" s="4">
        <f t="shared" si="0"/>
        <v>1.1448758949863922E-4</v>
      </c>
      <c r="O18" s="4">
        <f t="shared" si="0"/>
        <v>0</v>
      </c>
      <c r="P18" s="4">
        <f t="shared" si="0"/>
        <v>0</v>
      </c>
      <c r="Q18" s="4">
        <f>SUMIFS($E:$E,$B:$B,$J18,$C:$C,$G$2,$D:$D,Q$1)</f>
        <v>0</v>
      </c>
      <c r="R18" s="4">
        <f t="shared" si="1"/>
        <v>0</v>
      </c>
      <c r="S18" s="6">
        <f t="shared" si="0"/>
        <v>6.1408486929735844</v>
      </c>
      <c r="T18" s="7">
        <f t="shared" si="2"/>
        <v>2.2989532862304641E-3</v>
      </c>
      <c r="U18" s="4">
        <f t="shared" si="0"/>
        <v>7.48515124745433E-4</v>
      </c>
      <c r="V18" s="4">
        <f t="shared" si="0"/>
        <v>0</v>
      </c>
      <c r="W18" s="4">
        <f t="shared" si="0"/>
        <v>0</v>
      </c>
      <c r="X18" s="4">
        <f t="shared" si="0"/>
        <v>0</v>
      </c>
      <c r="Y18" s="4">
        <f t="shared" si="0"/>
        <v>0</v>
      </c>
      <c r="Z18" s="4">
        <f t="shared" si="0"/>
        <v>1.5504381614850305E-3</v>
      </c>
      <c r="AA18" s="7"/>
    </row>
    <row r="19" spans="1:27" x14ac:dyDescent="0.2">
      <c r="A19" s="5">
        <v>17</v>
      </c>
      <c r="B19" s="1">
        <v>43165</v>
      </c>
      <c r="C19" t="s">
        <v>49</v>
      </c>
      <c r="D19" t="s">
        <v>47</v>
      </c>
      <c r="I19">
        <v>2</v>
      </c>
      <c r="J19" s="1">
        <f>WORKDAY(Historical!$H$2,-I19)</f>
        <v>43161</v>
      </c>
      <c r="L19" s="4">
        <f t="shared" si="0"/>
        <v>1.390567717103033E-4</v>
      </c>
      <c r="M19" s="4">
        <f t="shared" si="0"/>
        <v>1.9972603503510887E-3</v>
      </c>
      <c r="N19" s="4">
        <f t="shared" si="0"/>
        <v>2.0628311593150482E-4</v>
      </c>
      <c r="O19" s="4">
        <f t="shared" si="0"/>
        <v>0</v>
      </c>
      <c r="P19" s="4">
        <f t="shared" si="0"/>
        <v>0</v>
      </c>
      <c r="Q19" s="4">
        <f>SUMIFS($E:$E,$B:$B,$J19,$C:$C,$G$2,$D:$D,Q$1)</f>
        <v>0</v>
      </c>
      <c r="R19" s="4">
        <f t="shared" si="1"/>
        <v>0</v>
      </c>
      <c r="S19" s="6">
        <f t="shared" si="0"/>
        <v>6.1392800871647042</v>
      </c>
      <c r="T19" s="7">
        <f t="shared" si="2"/>
        <v>2.3426002379928965E-3</v>
      </c>
      <c r="U19" s="4">
        <f t="shared" si="0"/>
        <v>1.0960691831677924E-3</v>
      </c>
      <c r="V19" s="4">
        <f t="shared" si="0"/>
        <v>0</v>
      </c>
      <c r="W19" s="4">
        <f t="shared" si="0"/>
        <v>0</v>
      </c>
      <c r="X19" s="4">
        <f t="shared" si="0"/>
        <v>0</v>
      </c>
      <c r="Y19" s="4">
        <f t="shared" si="0"/>
        <v>0</v>
      </c>
      <c r="Z19" s="4">
        <f t="shared" si="0"/>
        <v>1.2465310548251051E-3</v>
      </c>
      <c r="AA19" s="7"/>
    </row>
    <row r="20" spans="1:27" x14ac:dyDescent="0.2">
      <c r="A20" s="5">
        <v>18</v>
      </c>
      <c r="B20" s="1">
        <v>43165</v>
      </c>
      <c r="C20" t="s">
        <v>49</v>
      </c>
      <c r="D20" t="s">
        <v>141</v>
      </c>
      <c r="I20">
        <v>1</v>
      </c>
      <c r="J20" s="1">
        <f>WORKDAY(Historical!$H$2,-I20)</f>
        <v>43164</v>
      </c>
      <c r="L20" s="4">
        <f t="shared" si="0"/>
        <v>1.2466637229567132E-4</v>
      </c>
      <c r="M20" s="4">
        <f t="shared" si="0"/>
        <v>1.9489213053825642E-3</v>
      </c>
      <c r="N20" s="4">
        <f t="shared" si="0"/>
        <v>2.4540530177835212E-4</v>
      </c>
      <c r="O20" s="4">
        <f t="shared" si="0"/>
        <v>0</v>
      </c>
      <c r="P20" s="4">
        <f t="shared" si="0"/>
        <v>0</v>
      </c>
      <c r="Q20" s="4">
        <f>SUMIFS($E:$E,$B:$B,$J20,$C:$C,$G$2,$D:$D,Q$1)</f>
        <v>0</v>
      </c>
      <c r="R20" s="4">
        <f t="shared" si="1"/>
        <v>0</v>
      </c>
      <c r="S20" s="6">
        <f t="shared" si="0"/>
        <v>6.1323679233276076</v>
      </c>
      <c r="T20" s="7">
        <f t="shared" si="2"/>
        <v>2.3189929794565876E-3</v>
      </c>
      <c r="U20" s="4">
        <f t="shared" si="0"/>
        <v>1.5205769694259293E-3</v>
      </c>
      <c r="V20" s="4">
        <f t="shared" si="0"/>
        <v>0</v>
      </c>
      <c r="W20" s="4">
        <f t="shared" si="0"/>
        <v>0</v>
      </c>
      <c r="X20" s="4">
        <f t="shared" si="0"/>
        <v>0</v>
      </c>
      <c r="Y20" s="4">
        <f t="shared" si="0"/>
        <v>0</v>
      </c>
      <c r="Z20" s="4">
        <f t="shared" si="0"/>
        <v>7.9841601003065722E-4</v>
      </c>
      <c r="AA20" s="7"/>
    </row>
    <row r="21" spans="1:27" x14ac:dyDescent="0.2">
      <c r="A21" s="5">
        <v>19</v>
      </c>
      <c r="B21" s="1">
        <v>43165</v>
      </c>
      <c r="C21" t="s">
        <v>49</v>
      </c>
      <c r="D21" t="s">
        <v>205</v>
      </c>
      <c r="I21">
        <v>0</v>
      </c>
      <c r="J21" s="1">
        <f>WORKDAY(Historical!$H$2,-I21)</f>
        <v>43165</v>
      </c>
      <c r="L21" s="4">
        <f t="shared" si="0"/>
        <v>1.0684140631584825E-4</v>
      </c>
      <c r="M21" s="4">
        <f t="shared" si="0"/>
        <v>2.0223172332502226E-3</v>
      </c>
      <c r="N21" s="4">
        <f t="shared" si="0"/>
        <v>2.6200876553227092E-4</v>
      </c>
      <c r="O21" s="4">
        <f t="shared" si="0"/>
        <v>0</v>
      </c>
      <c r="P21" s="4">
        <f t="shared" si="0"/>
        <v>0</v>
      </c>
      <c r="Q21" s="4">
        <f>SUMIFS($E:$E,$B:$B,$J21,$C:$C,$G$2,$D:$D,Q$1)</f>
        <v>0</v>
      </c>
      <c r="R21" s="4">
        <f t="shared" si="1"/>
        <v>0</v>
      </c>
      <c r="S21" s="6">
        <f t="shared" si="0"/>
        <v>6.1295892225810222</v>
      </c>
      <c r="T21" s="7">
        <f t="shared" si="2"/>
        <v>2.3911674050983421E-3</v>
      </c>
      <c r="U21" s="4">
        <f t="shared" si="0"/>
        <v>1.6233451624173719E-3</v>
      </c>
      <c r="V21" s="4">
        <f t="shared" si="0"/>
        <v>0</v>
      </c>
      <c r="W21" s="4">
        <f t="shared" si="0"/>
        <v>0</v>
      </c>
      <c r="X21" s="4">
        <f t="shared" si="0"/>
        <v>0</v>
      </c>
      <c r="Y21" s="4">
        <f t="shared" si="0"/>
        <v>0</v>
      </c>
      <c r="Z21" s="4">
        <f t="shared" si="0"/>
        <v>7.6782224268097062E-4</v>
      </c>
      <c r="AA21" s="7"/>
    </row>
    <row r="22" spans="1:27" x14ac:dyDescent="0.2">
      <c r="A22" s="5">
        <v>20</v>
      </c>
      <c r="B22" s="1">
        <v>43165</v>
      </c>
      <c r="C22" t="s">
        <v>49</v>
      </c>
      <c r="D22" t="s">
        <v>164</v>
      </c>
    </row>
    <row r="23" spans="1:27" x14ac:dyDescent="0.2">
      <c r="A23" s="5">
        <v>21</v>
      </c>
      <c r="B23" s="1">
        <v>43165</v>
      </c>
      <c r="C23" t="s">
        <v>49</v>
      </c>
      <c r="D23" t="s">
        <v>68</v>
      </c>
      <c r="E23">
        <v>6.1295892225810222</v>
      </c>
    </row>
    <row r="24" spans="1:27" x14ac:dyDescent="0.2">
      <c r="A24" s="5">
        <v>22</v>
      </c>
      <c r="B24" s="1">
        <v>43165</v>
      </c>
      <c r="C24" t="s">
        <v>49</v>
      </c>
      <c r="D24" t="s">
        <v>177</v>
      </c>
      <c r="E24">
        <v>1.6233451624173719E-3</v>
      </c>
    </row>
    <row r="25" spans="1:27" x14ac:dyDescent="0.2">
      <c r="A25" s="5">
        <v>23</v>
      </c>
      <c r="B25" s="1">
        <v>43165</v>
      </c>
      <c r="C25" t="s">
        <v>49</v>
      </c>
      <c r="D25" t="s">
        <v>178</v>
      </c>
    </row>
    <row r="26" spans="1:27" x14ac:dyDescent="0.2">
      <c r="A26" s="5">
        <v>24</v>
      </c>
      <c r="B26" s="1">
        <v>43165</v>
      </c>
      <c r="C26" t="s">
        <v>49</v>
      </c>
      <c r="D26" t="s">
        <v>179</v>
      </c>
    </row>
    <row r="27" spans="1:27" x14ac:dyDescent="0.2">
      <c r="A27" s="5">
        <v>25</v>
      </c>
      <c r="B27" s="1">
        <v>43165</v>
      </c>
      <c r="C27" t="s">
        <v>49</v>
      </c>
      <c r="D27" t="s">
        <v>180</v>
      </c>
    </row>
    <row r="28" spans="1:27" x14ac:dyDescent="0.2">
      <c r="A28" s="5">
        <v>26</v>
      </c>
      <c r="B28" s="1">
        <v>43165</v>
      </c>
      <c r="C28" t="s">
        <v>49</v>
      </c>
      <c r="D28" t="s">
        <v>181</v>
      </c>
    </row>
    <row r="29" spans="1:27" x14ac:dyDescent="0.2">
      <c r="A29" s="5">
        <v>27</v>
      </c>
      <c r="B29" s="1">
        <v>43165</v>
      </c>
      <c r="C29" t="s">
        <v>49</v>
      </c>
      <c r="D29" t="s">
        <v>182</v>
      </c>
      <c r="E29">
        <v>7.6782224268097062E-4</v>
      </c>
    </row>
    <row r="30" spans="1:27" x14ac:dyDescent="0.2">
      <c r="A30" s="5">
        <v>28</v>
      </c>
      <c r="B30" s="1">
        <v>43164</v>
      </c>
      <c r="C30" t="s">
        <v>29</v>
      </c>
      <c r="D30" t="s">
        <v>39</v>
      </c>
      <c r="E30">
        <v>-2.7500485858053342E-5</v>
      </c>
    </row>
    <row r="31" spans="1:27" x14ac:dyDescent="0.2">
      <c r="A31" s="5">
        <v>29</v>
      </c>
      <c r="B31" s="1">
        <v>43164</v>
      </c>
      <c r="C31" t="s">
        <v>29</v>
      </c>
      <c r="D31" t="s">
        <v>32</v>
      </c>
      <c r="E31">
        <v>1.0852615550605055E-3</v>
      </c>
    </row>
    <row r="32" spans="1:27" x14ac:dyDescent="0.2">
      <c r="A32" s="5">
        <v>30</v>
      </c>
      <c r="B32" s="1">
        <v>43164</v>
      </c>
      <c r="C32" t="s">
        <v>29</v>
      </c>
      <c r="D32" t="s">
        <v>30</v>
      </c>
      <c r="E32">
        <v>3.3714282326515821E-4</v>
      </c>
    </row>
    <row r="33" spans="1:5" x14ac:dyDescent="0.2">
      <c r="A33" s="5">
        <v>31</v>
      </c>
      <c r="B33" s="1">
        <v>43164</v>
      </c>
      <c r="C33" t="s">
        <v>29</v>
      </c>
      <c r="D33" t="s">
        <v>47</v>
      </c>
    </row>
    <row r="34" spans="1:5" x14ac:dyDescent="0.2">
      <c r="A34" s="5">
        <v>32</v>
      </c>
      <c r="B34" s="1">
        <v>43164</v>
      </c>
      <c r="C34" t="s">
        <v>29</v>
      </c>
      <c r="D34" t="s">
        <v>141</v>
      </c>
    </row>
    <row r="35" spans="1:5" x14ac:dyDescent="0.2">
      <c r="A35" s="5">
        <v>33</v>
      </c>
      <c r="B35" s="1">
        <v>43164</v>
      </c>
      <c r="C35" t="s">
        <v>29</v>
      </c>
      <c r="D35" t="s">
        <v>205</v>
      </c>
    </row>
    <row r="36" spans="1:5" x14ac:dyDescent="0.2">
      <c r="A36" s="5">
        <v>34</v>
      </c>
      <c r="B36" s="1">
        <v>43164</v>
      </c>
      <c r="C36" t="s">
        <v>29</v>
      </c>
      <c r="D36" t="s">
        <v>164</v>
      </c>
    </row>
    <row r="37" spans="1:5" x14ac:dyDescent="0.2">
      <c r="A37" s="5">
        <v>35</v>
      </c>
      <c r="B37" s="1">
        <v>43164</v>
      </c>
      <c r="C37" t="s">
        <v>29</v>
      </c>
      <c r="D37" t="s">
        <v>68</v>
      </c>
      <c r="E37">
        <v>4.6288638202995331</v>
      </c>
    </row>
    <row r="38" spans="1:5" x14ac:dyDescent="0.2">
      <c r="A38" s="5">
        <v>36</v>
      </c>
      <c r="B38" s="1">
        <v>43164</v>
      </c>
      <c r="C38" t="s">
        <v>29</v>
      </c>
      <c r="D38" t="s">
        <v>177</v>
      </c>
      <c r="E38">
        <v>5.3481989664693418E-4</v>
      </c>
    </row>
    <row r="39" spans="1:5" x14ac:dyDescent="0.2">
      <c r="A39" s="5">
        <v>37</v>
      </c>
      <c r="B39" s="1">
        <v>43164</v>
      </c>
      <c r="C39" t="s">
        <v>29</v>
      </c>
      <c r="D39" t="s">
        <v>178</v>
      </c>
    </row>
    <row r="40" spans="1:5" x14ac:dyDescent="0.2">
      <c r="A40" s="5">
        <v>38</v>
      </c>
      <c r="B40" s="1">
        <v>43164</v>
      </c>
      <c r="C40" t="s">
        <v>29</v>
      </c>
      <c r="D40" t="s">
        <v>179</v>
      </c>
    </row>
    <row r="41" spans="1:5" x14ac:dyDescent="0.2">
      <c r="A41" s="5">
        <v>39</v>
      </c>
      <c r="B41" s="1">
        <v>43164</v>
      </c>
      <c r="C41" t="s">
        <v>29</v>
      </c>
      <c r="D41" t="s">
        <v>180</v>
      </c>
    </row>
    <row r="42" spans="1:5" x14ac:dyDescent="0.2">
      <c r="A42" s="5">
        <v>40</v>
      </c>
      <c r="B42" s="1">
        <v>43164</v>
      </c>
      <c r="C42" t="s">
        <v>29</v>
      </c>
      <c r="D42" t="s">
        <v>181</v>
      </c>
    </row>
    <row r="43" spans="1:5" x14ac:dyDescent="0.2">
      <c r="A43" s="5">
        <v>41</v>
      </c>
      <c r="B43" s="1">
        <v>43164</v>
      </c>
      <c r="C43" t="s">
        <v>29</v>
      </c>
      <c r="D43" t="s">
        <v>182</v>
      </c>
      <c r="E43">
        <v>8.6008399582067731E-4</v>
      </c>
    </row>
    <row r="44" spans="1:5" x14ac:dyDescent="0.2">
      <c r="A44" s="5">
        <v>42</v>
      </c>
      <c r="B44" s="1">
        <v>43164</v>
      </c>
      <c r="C44" t="s">
        <v>49</v>
      </c>
      <c r="D44" t="s">
        <v>39</v>
      </c>
      <c r="E44">
        <v>1.2466637229567132E-4</v>
      </c>
    </row>
    <row r="45" spans="1:5" x14ac:dyDescent="0.2">
      <c r="A45" s="5">
        <v>43</v>
      </c>
      <c r="B45" s="1">
        <v>43164</v>
      </c>
      <c r="C45" t="s">
        <v>49</v>
      </c>
      <c r="D45" t="s">
        <v>32</v>
      </c>
      <c r="E45">
        <v>1.9489213053825642E-3</v>
      </c>
    </row>
    <row r="46" spans="1:5" x14ac:dyDescent="0.2">
      <c r="A46" s="5">
        <v>44</v>
      </c>
      <c r="B46" s="1">
        <v>43164</v>
      </c>
      <c r="C46" t="s">
        <v>49</v>
      </c>
      <c r="D46" t="s">
        <v>30</v>
      </c>
      <c r="E46">
        <v>2.4540530177835212E-4</v>
      </c>
    </row>
    <row r="47" spans="1:5" x14ac:dyDescent="0.2">
      <c r="A47" s="5">
        <v>45</v>
      </c>
      <c r="B47" s="1">
        <v>43164</v>
      </c>
      <c r="C47" t="s">
        <v>49</v>
      </c>
      <c r="D47" t="s">
        <v>47</v>
      </c>
    </row>
    <row r="48" spans="1:5" x14ac:dyDescent="0.2">
      <c r="A48" s="5">
        <v>46</v>
      </c>
      <c r="B48" s="1">
        <v>43164</v>
      </c>
      <c r="C48" t="s">
        <v>49</v>
      </c>
      <c r="D48" t="s">
        <v>141</v>
      </c>
    </row>
    <row r="49" spans="1:5" x14ac:dyDescent="0.2">
      <c r="A49" s="5">
        <v>47</v>
      </c>
      <c r="B49" s="1">
        <v>43164</v>
      </c>
      <c r="C49" t="s">
        <v>49</v>
      </c>
      <c r="D49" t="s">
        <v>205</v>
      </c>
    </row>
    <row r="50" spans="1:5" x14ac:dyDescent="0.2">
      <c r="A50" s="5">
        <v>48</v>
      </c>
      <c r="B50" s="1">
        <v>43164</v>
      </c>
      <c r="C50" t="s">
        <v>49</v>
      </c>
      <c r="D50" t="s">
        <v>164</v>
      </c>
    </row>
    <row r="51" spans="1:5" x14ac:dyDescent="0.2">
      <c r="A51" s="5">
        <v>49</v>
      </c>
      <c r="B51" s="1">
        <v>43164</v>
      </c>
      <c r="C51" t="s">
        <v>49</v>
      </c>
      <c r="D51" t="s">
        <v>68</v>
      </c>
      <c r="E51">
        <v>6.1323679233276076</v>
      </c>
    </row>
    <row r="52" spans="1:5" x14ac:dyDescent="0.2">
      <c r="A52" s="5">
        <v>50</v>
      </c>
      <c r="B52" s="1">
        <v>43164</v>
      </c>
      <c r="C52" t="s">
        <v>49</v>
      </c>
      <c r="D52" t="s">
        <v>177</v>
      </c>
      <c r="E52">
        <v>1.5205769694259293E-3</v>
      </c>
    </row>
    <row r="53" spans="1:5" x14ac:dyDescent="0.2">
      <c r="A53" s="5">
        <v>51</v>
      </c>
      <c r="B53" s="1">
        <v>43164</v>
      </c>
      <c r="C53" t="s">
        <v>49</v>
      </c>
      <c r="D53" t="s">
        <v>178</v>
      </c>
    </row>
    <row r="54" spans="1:5" x14ac:dyDescent="0.2">
      <c r="A54" s="5">
        <v>52</v>
      </c>
      <c r="B54" s="1">
        <v>43164</v>
      </c>
      <c r="C54" t="s">
        <v>49</v>
      </c>
      <c r="D54" t="s">
        <v>179</v>
      </c>
    </row>
    <row r="55" spans="1:5" x14ac:dyDescent="0.2">
      <c r="A55" s="5">
        <v>53</v>
      </c>
      <c r="B55" s="1">
        <v>43164</v>
      </c>
      <c r="C55" t="s">
        <v>49</v>
      </c>
      <c r="D55" t="s">
        <v>180</v>
      </c>
    </row>
    <row r="56" spans="1:5" x14ac:dyDescent="0.2">
      <c r="A56" s="5">
        <v>54</v>
      </c>
      <c r="B56" s="1">
        <v>43164</v>
      </c>
      <c r="C56" t="s">
        <v>49</v>
      </c>
      <c r="D56" t="s">
        <v>181</v>
      </c>
    </row>
    <row r="57" spans="1:5" x14ac:dyDescent="0.2">
      <c r="A57" s="5">
        <v>55</v>
      </c>
      <c r="B57" s="1">
        <v>43164</v>
      </c>
      <c r="C57" t="s">
        <v>49</v>
      </c>
      <c r="D57" t="s">
        <v>182</v>
      </c>
      <c r="E57">
        <v>7.9841601003065722E-4</v>
      </c>
    </row>
    <row r="58" spans="1:5" x14ac:dyDescent="0.2">
      <c r="A58" s="5">
        <v>56</v>
      </c>
      <c r="B58" s="1">
        <v>43161</v>
      </c>
      <c r="C58" t="s">
        <v>29</v>
      </c>
      <c r="D58" t="s">
        <v>39</v>
      </c>
      <c r="E58">
        <v>-7.6655512879828241E-6</v>
      </c>
    </row>
    <row r="59" spans="1:5" x14ac:dyDescent="0.2">
      <c r="A59" s="5">
        <v>57</v>
      </c>
      <c r="B59" s="1">
        <v>43161</v>
      </c>
      <c r="C59" t="s">
        <v>29</v>
      </c>
      <c r="D59" t="s">
        <v>32</v>
      </c>
      <c r="E59">
        <v>1.0593881585504888E-3</v>
      </c>
    </row>
    <row r="60" spans="1:5" x14ac:dyDescent="0.2">
      <c r="A60" s="5">
        <v>58</v>
      </c>
      <c r="B60" s="1">
        <v>43161</v>
      </c>
      <c r="C60" t="s">
        <v>29</v>
      </c>
      <c r="D60" t="s">
        <v>30</v>
      </c>
      <c r="E60">
        <v>3.2456348310994478E-4</v>
      </c>
    </row>
    <row r="61" spans="1:5" x14ac:dyDescent="0.2">
      <c r="A61" s="5">
        <v>59</v>
      </c>
      <c r="B61" s="1">
        <v>43161</v>
      </c>
      <c r="C61" t="s">
        <v>29</v>
      </c>
      <c r="D61" t="s">
        <v>47</v>
      </c>
    </row>
    <row r="62" spans="1:5" x14ac:dyDescent="0.2">
      <c r="A62" s="5">
        <v>60</v>
      </c>
      <c r="B62" s="1">
        <v>43161</v>
      </c>
      <c r="C62" t="s">
        <v>29</v>
      </c>
      <c r="D62" t="s">
        <v>141</v>
      </c>
    </row>
    <row r="63" spans="1:5" x14ac:dyDescent="0.2">
      <c r="A63" s="5">
        <v>61</v>
      </c>
      <c r="B63" s="1">
        <v>43161</v>
      </c>
      <c r="C63" t="s">
        <v>29</v>
      </c>
      <c r="D63" t="s">
        <v>205</v>
      </c>
    </row>
    <row r="64" spans="1:5" x14ac:dyDescent="0.2">
      <c r="A64" s="5">
        <v>62</v>
      </c>
      <c r="B64" s="1">
        <v>43161</v>
      </c>
      <c r="C64" t="s">
        <v>29</v>
      </c>
      <c r="D64" t="s">
        <v>164</v>
      </c>
    </row>
    <row r="65" spans="1:5" x14ac:dyDescent="0.2">
      <c r="A65" s="5">
        <v>63</v>
      </c>
      <c r="B65" s="1">
        <v>43161</v>
      </c>
      <c r="C65" t="s">
        <v>29</v>
      </c>
      <c r="D65" t="s">
        <v>68</v>
      </c>
      <c r="E65">
        <v>4.641188660349882</v>
      </c>
    </row>
    <row r="66" spans="1:5" x14ac:dyDescent="0.2">
      <c r="A66" s="5">
        <v>64</v>
      </c>
      <c r="B66" s="1">
        <v>43161</v>
      </c>
      <c r="C66" t="s">
        <v>29</v>
      </c>
      <c r="D66" t="s">
        <v>177</v>
      </c>
      <c r="E66">
        <v>1.1464253386984885E-3</v>
      </c>
    </row>
    <row r="67" spans="1:5" x14ac:dyDescent="0.2">
      <c r="A67" s="5">
        <v>65</v>
      </c>
      <c r="B67" s="1">
        <v>43161</v>
      </c>
      <c r="C67" t="s">
        <v>29</v>
      </c>
      <c r="D67" t="s">
        <v>178</v>
      </c>
    </row>
    <row r="68" spans="1:5" x14ac:dyDescent="0.2">
      <c r="A68" s="5">
        <v>66</v>
      </c>
      <c r="B68" s="1">
        <v>43161</v>
      </c>
      <c r="C68" t="s">
        <v>29</v>
      </c>
      <c r="D68" t="s">
        <v>179</v>
      </c>
    </row>
    <row r="69" spans="1:5" x14ac:dyDescent="0.2">
      <c r="A69" s="5">
        <v>67</v>
      </c>
      <c r="B69" s="1">
        <v>43161</v>
      </c>
      <c r="C69" t="s">
        <v>29</v>
      </c>
      <c r="D69" t="s">
        <v>180</v>
      </c>
    </row>
    <row r="70" spans="1:5" x14ac:dyDescent="0.2">
      <c r="A70" s="5">
        <v>68</v>
      </c>
      <c r="B70" s="1">
        <v>43161</v>
      </c>
      <c r="C70" t="s">
        <v>29</v>
      </c>
      <c r="D70" t="s">
        <v>181</v>
      </c>
    </row>
    <row r="71" spans="1:5" x14ac:dyDescent="0.2">
      <c r="A71" s="5">
        <v>69</v>
      </c>
      <c r="B71" s="1">
        <v>43161</v>
      </c>
      <c r="C71" t="s">
        <v>29</v>
      </c>
      <c r="D71" t="s">
        <v>182</v>
      </c>
      <c r="E71">
        <v>2.2986075167396236E-4</v>
      </c>
    </row>
    <row r="72" spans="1:5" x14ac:dyDescent="0.2">
      <c r="A72" s="5">
        <v>70</v>
      </c>
      <c r="B72" s="1">
        <v>43161</v>
      </c>
      <c r="C72" t="s">
        <v>49</v>
      </c>
      <c r="D72" t="s">
        <v>39</v>
      </c>
      <c r="E72">
        <v>1.390567717103033E-4</v>
      </c>
    </row>
    <row r="73" spans="1:5" x14ac:dyDescent="0.2">
      <c r="A73" s="5">
        <v>71</v>
      </c>
      <c r="B73" s="1">
        <v>43161</v>
      </c>
      <c r="C73" t="s">
        <v>49</v>
      </c>
      <c r="D73" t="s">
        <v>32</v>
      </c>
      <c r="E73">
        <v>1.9972603503510887E-3</v>
      </c>
    </row>
    <row r="74" spans="1:5" x14ac:dyDescent="0.2">
      <c r="A74" s="5">
        <v>72</v>
      </c>
      <c r="B74" s="1">
        <v>43161</v>
      </c>
      <c r="C74" t="s">
        <v>49</v>
      </c>
      <c r="D74" t="s">
        <v>30</v>
      </c>
      <c r="E74">
        <v>2.0628311593150482E-4</v>
      </c>
    </row>
    <row r="75" spans="1:5" x14ac:dyDescent="0.2">
      <c r="A75" s="5">
        <v>73</v>
      </c>
      <c r="B75" s="1">
        <v>43161</v>
      </c>
      <c r="C75" t="s">
        <v>49</v>
      </c>
      <c r="D75" t="s">
        <v>47</v>
      </c>
    </row>
    <row r="76" spans="1:5" x14ac:dyDescent="0.2">
      <c r="A76" s="5">
        <v>74</v>
      </c>
      <c r="B76" s="1">
        <v>43161</v>
      </c>
      <c r="C76" t="s">
        <v>49</v>
      </c>
      <c r="D76" t="s">
        <v>141</v>
      </c>
    </row>
    <row r="77" spans="1:5" x14ac:dyDescent="0.2">
      <c r="A77" s="5">
        <v>75</v>
      </c>
      <c r="B77" s="1">
        <v>43161</v>
      </c>
      <c r="C77" t="s">
        <v>49</v>
      </c>
      <c r="D77" t="s">
        <v>205</v>
      </c>
    </row>
    <row r="78" spans="1:5" x14ac:dyDescent="0.2">
      <c r="A78" s="5">
        <v>76</v>
      </c>
      <c r="B78" s="1">
        <v>43161</v>
      </c>
      <c r="C78" t="s">
        <v>49</v>
      </c>
      <c r="D78" t="s">
        <v>164</v>
      </c>
    </row>
    <row r="79" spans="1:5" x14ac:dyDescent="0.2">
      <c r="A79" s="5">
        <v>77</v>
      </c>
      <c r="B79" s="1">
        <v>43161</v>
      </c>
      <c r="C79" t="s">
        <v>49</v>
      </c>
      <c r="D79" t="s">
        <v>68</v>
      </c>
      <c r="E79">
        <v>6.1392800871647042</v>
      </c>
    </row>
    <row r="80" spans="1:5" x14ac:dyDescent="0.2">
      <c r="A80" s="5">
        <v>78</v>
      </c>
      <c r="B80" s="1">
        <v>43161</v>
      </c>
      <c r="C80" t="s">
        <v>49</v>
      </c>
      <c r="D80" t="s">
        <v>177</v>
      </c>
      <c r="E80">
        <v>1.0960691831677924E-3</v>
      </c>
    </row>
    <row r="81" spans="1:5" x14ac:dyDescent="0.2">
      <c r="A81" s="5">
        <v>79</v>
      </c>
      <c r="B81" s="1">
        <v>43161</v>
      </c>
      <c r="C81" t="s">
        <v>49</v>
      </c>
      <c r="D81" t="s">
        <v>178</v>
      </c>
    </row>
    <row r="82" spans="1:5" x14ac:dyDescent="0.2">
      <c r="A82" s="5">
        <v>80</v>
      </c>
      <c r="B82" s="1">
        <v>43161</v>
      </c>
      <c r="C82" t="s">
        <v>49</v>
      </c>
      <c r="D82" t="s">
        <v>179</v>
      </c>
    </row>
    <row r="83" spans="1:5" x14ac:dyDescent="0.2">
      <c r="A83" s="5">
        <v>81</v>
      </c>
      <c r="B83" s="1">
        <v>43161</v>
      </c>
      <c r="C83" t="s">
        <v>49</v>
      </c>
      <c r="D83" t="s">
        <v>180</v>
      </c>
    </row>
    <row r="84" spans="1:5" x14ac:dyDescent="0.2">
      <c r="A84" s="5">
        <v>82</v>
      </c>
      <c r="B84" s="1">
        <v>43161</v>
      </c>
      <c r="C84" t="s">
        <v>49</v>
      </c>
      <c r="D84" t="s">
        <v>181</v>
      </c>
    </row>
    <row r="85" spans="1:5" x14ac:dyDescent="0.2">
      <c r="A85" s="5">
        <v>83</v>
      </c>
      <c r="B85" s="1">
        <v>43161</v>
      </c>
      <c r="C85" t="s">
        <v>49</v>
      </c>
      <c r="D85" t="s">
        <v>182</v>
      </c>
      <c r="E85">
        <v>1.2465310548251051E-3</v>
      </c>
    </row>
    <row r="86" spans="1:5" x14ac:dyDescent="0.2">
      <c r="A86" s="5">
        <v>84</v>
      </c>
      <c r="B86" s="1">
        <v>43160</v>
      </c>
      <c r="C86" t="s">
        <v>29</v>
      </c>
      <c r="D86" t="s">
        <v>39</v>
      </c>
      <c r="E86">
        <v>-2.3178478427427901E-5</v>
      </c>
    </row>
    <row r="87" spans="1:5" x14ac:dyDescent="0.2">
      <c r="A87" s="5">
        <v>85</v>
      </c>
      <c r="B87" s="1">
        <v>43160</v>
      </c>
      <c r="C87" t="s">
        <v>29</v>
      </c>
      <c r="D87" t="s">
        <v>32</v>
      </c>
      <c r="E87">
        <v>1.131148794558596E-3</v>
      </c>
    </row>
    <row r="88" spans="1:5" x14ac:dyDescent="0.2">
      <c r="A88" s="5">
        <v>86</v>
      </c>
      <c r="B88" s="1">
        <v>43160</v>
      </c>
      <c r="C88" t="s">
        <v>29</v>
      </c>
      <c r="D88" t="s">
        <v>30</v>
      </c>
      <c r="E88">
        <v>2.9354109012455937E-4</v>
      </c>
    </row>
    <row r="89" spans="1:5" x14ac:dyDescent="0.2">
      <c r="A89" s="5">
        <v>87</v>
      </c>
      <c r="B89" s="1">
        <v>43160</v>
      </c>
      <c r="C89" t="s">
        <v>29</v>
      </c>
      <c r="D89" t="s">
        <v>47</v>
      </c>
    </row>
    <row r="90" spans="1:5" x14ac:dyDescent="0.2">
      <c r="A90" s="5">
        <v>88</v>
      </c>
      <c r="B90" s="1">
        <v>43160</v>
      </c>
      <c r="C90" t="s">
        <v>29</v>
      </c>
      <c r="D90" t="s">
        <v>141</v>
      </c>
    </row>
    <row r="91" spans="1:5" x14ac:dyDescent="0.2">
      <c r="A91" s="5">
        <v>89</v>
      </c>
      <c r="B91" s="1">
        <v>43160</v>
      </c>
      <c r="C91" t="s">
        <v>29</v>
      </c>
      <c r="D91" t="s">
        <v>205</v>
      </c>
    </row>
    <row r="92" spans="1:5" x14ac:dyDescent="0.2">
      <c r="A92" s="5">
        <v>90</v>
      </c>
      <c r="B92" s="1">
        <v>43160</v>
      </c>
      <c r="C92" t="s">
        <v>29</v>
      </c>
      <c r="D92" t="s">
        <v>164</v>
      </c>
    </row>
    <row r="93" spans="1:5" x14ac:dyDescent="0.2">
      <c r="A93" s="5">
        <v>91</v>
      </c>
      <c r="B93" s="1">
        <v>43160</v>
      </c>
      <c r="C93" t="s">
        <v>29</v>
      </c>
      <c r="D93" t="s">
        <v>68</v>
      </c>
      <c r="E93">
        <v>4.6438883969326694</v>
      </c>
    </row>
    <row r="94" spans="1:5" x14ac:dyDescent="0.2">
      <c r="A94" s="5">
        <v>92</v>
      </c>
      <c r="B94" s="1">
        <v>43160</v>
      </c>
      <c r="C94" t="s">
        <v>29</v>
      </c>
      <c r="D94" t="s">
        <v>177</v>
      </c>
      <c r="E94">
        <v>1.0117533584723334E-3</v>
      </c>
    </row>
    <row r="95" spans="1:5" x14ac:dyDescent="0.2">
      <c r="A95" s="5">
        <v>93</v>
      </c>
      <c r="B95" s="1">
        <v>43160</v>
      </c>
      <c r="C95" t="s">
        <v>29</v>
      </c>
      <c r="D95" t="s">
        <v>178</v>
      </c>
    </row>
    <row r="96" spans="1:5" x14ac:dyDescent="0.2">
      <c r="A96" s="5">
        <v>94</v>
      </c>
      <c r="B96" s="1">
        <v>43160</v>
      </c>
      <c r="C96" t="s">
        <v>29</v>
      </c>
      <c r="D96" t="s">
        <v>179</v>
      </c>
    </row>
    <row r="97" spans="1:5" x14ac:dyDescent="0.2">
      <c r="A97" s="5">
        <v>95</v>
      </c>
      <c r="B97" s="1">
        <v>43160</v>
      </c>
      <c r="C97" t="s">
        <v>29</v>
      </c>
      <c r="D97" t="s">
        <v>180</v>
      </c>
    </row>
    <row r="98" spans="1:5" x14ac:dyDescent="0.2">
      <c r="A98" s="5">
        <v>96</v>
      </c>
      <c r="B98" s="1">
        <v>43160</v>
      </c>
      <c r="C98" t="s">
        <v>29</v>
      </c>
      <c r="D98" t="s">
        <v>181</v>
      </c>
    </row>
    <row r="99" spans="1:5" x14ac:dyDescent="0.2">
      <c r="A99" s="5">
        <v>97</v>
      </c>
      <c r="B99" s="1">
        <v>43160</v>
      </c>
      <c r="C99" t="s">
        <v>29</v>
      </c>
      <c r="D99" t="s">
        <v>182</v>
      </c>
      <c r="E99">
        <v>3.8975804778339376E-4</v>
      </c>
    </row>
    <row r="100" spans="1:5" x14ac:dyDescent="0.2">
      <c r="A100" s="5">
        <v>98</v>
      </c>
      <c r="B100" s="1">
        <v>43160</v>
      </c>
      <c r="C100" t="s">
        <v>49</v>
      </c>
      <c r="D100" t="s">
        <v>39</v>
      </c>
      <c r="E100">
        <v>1.1601443864114114E-4</v>
      </c>
    </row>
    <row r="101" spans="1:5" x14ac:dyDescent="0.2">
      <c r="A101" s="5">
        <v>99</v>
      </c>
      <c r="B101" s="1">
        <v>43160</v>
      </c>
      <c r="C101" t="s">
        <v>49</v>
      </c>
      <c r="D101" t="s">
        <v>32</v>
      </c>
      <c r="E101">
        <v>2.068451258090684E-3</v>
      </c>
    </row>
    <row r="102" spans="1:5" x14ac:dyDescent="0.2">
      <c r="A102" s="5">
        <v>100</v>
      </c>
      <c r="B102" s="1">
        <v>43160</v>
      </c>
      <c r="C102" t="s">
        <v>49</v>
      </c>
      <c r="D102" t="s">
        <v>30</v>
      </c>
      <c r="E102">
        <v>1.1448758949863922E-4</v>
      </c>
    </row>
    <row r="103" spans="1:5" x14ac:dyDescent="0.2">
      <c r="A103" s="5">
        <v>101</v>
      </c>
      <c r="B103" s="1">
        <v>43160</v>
      </c>
      <c r="C103" t="s">
        <v>49</v>
      </c>
      <c r="D103" t="s">
        <v>47</v>
      </c>
    </row>
    <row r="104" spans="1:5" x14ac:dyDescent="0.2">
      <c r="A104" s="5">
        <v>102</v>
      </c>
      <c r="B104" s="1">
        <v>43160</v>
      </c>
      <c r="C104" t="s">
        <v>49</v>
      </c>
      <c r="D104" t="s">
        <v>141</v>
      </c>
    </row>
    <row r="105" spans="1:5" x14ac:dyDescent="0.2">
      <c r="A105" s="5">
        <v>103</v>
      </c>
      <c r="B105" s="1">
        <v>43160</v>
      </c>
      <c r="C105" t="s">
        <v>49</v>
      </c>
      <c r="D105" t="s">
        <v>205</v>
      </c>
    </row>
    <row r="106" spans="1:5" x14ac:dyDescent="0.2">
      <c r="A106" s="5">
        <v>104</v>
      </c>
      <c r="B106" s="1">
        <v>43160</v>
      </c>
      <c r="C106" t="s">
        <v>49</v>
      </c>
      <c r="D106" t="s">
        <v>164</v>
      </c>
    </row>
    <row r="107" spans="1:5" x14ac:dyDescent="0.2">
      <c r="A107" s="5">
        <v>105</v>
      </c>
      <c r="B107" s="1">
        <v>43160</v>
      </c>
      <c r="C107" t="s">
        <v>49</v>
      </c>
      <c r="D107" t="s">
        <v>68</v>
      </c>
      <c r="E107">
        <v>6.1408486929735844</v>
      </c>
    </row>
    <row r="108" spans="1:5" x14ac:dyDescent="0.2">
      <c r="A108" s="5">
        <v>106</v>
      </c>
      <c r="B108" s="1">
        <v>43160</v>
      </c>
      <c r="C108" t="s">
        <v>49</v>
      </c>
      <c r="D108" t="s">
        <v>177</v>
      </c>
      <c r="E108">
        <v>7.48515124745433E-4</v>
      </c>
    </row>
    <row r="109" spans="1:5" x14ac:dyDescent="0.2">
      <c r="A109" s="5">
        <v>107</v>
      </c>
      <c r="B109" s="1">
        <v>43160</v>
      </c>
      <c r="C109" t="s">
        <v>49</v>
      </c>
      <c r="D109" t="s">
        <v>178</v>
      </c>
    </row>
    <row r="110" spans="1:5" x14ac:dyDescent="0.2">
      <c r="A110" s="5">
        <v>108</v>
      </c>
      <c r="B110" s="1">
        <v>43160</v>
      </c>
      <c r="C110" t="s">
        <v>49</v>
      </c>
      <c r="D110" t="s">
        <v>179</v>
      </c>
    </row>
    <row r="111" spans="1:5" x14ac:dyDescent="0.2">
      <c r="A111" s="5">
        <v>109</v>
      </c>
      <c r="B111" s="1">
        <v>43160</v>
      </c>
      <c r="C111" t="s">
        <v>49</v>
      </c>
      <c r="D111" t="s">
        <v>180</v>
      </c>
    </row>
    <row r="112" spans="1:5" x14ac:dyDescent="0.2">
      <c r="A112" s="5">
        <v>110</v>
      </c>
      <c r="B112" s="1">
        <v>43160</v>
      </c>
      <c r="C112" t="s">
        <v>49</v>
      </c>
      <c r="D112" t="s">
        <v>181</v>
      </c>
    </row>
    <row r="113" spans="1:5" x14ac:dyDescent="0.2">
      <c r="A113" s="5">
        <v>111</v>
      </c>
      <c r="B113" s="1">
        <v>43160</v>
      </c>
      <c r="C113" t="s">
        <v>49</v>
      </c>
      <c r="D113" t="s">
        <v>182</v>
      </c>
      <c r="E113">
        <v>1.5504381614850305E-3</v>
      </c>
    </row>
    <row r="114" spans="1:5" x14ac:dyDescent="0.2">
      <c r="A114" s="5">
        <v>112</v>
      </c>
      <c r="B114" s="1">
        <v>43159</v>
      </c>
      <c r="C114" t="s">
        <v>29</v>
      </c>
      <c r="D114" t="s">
        <v>39</v>
      </c>
      <c r="E114">
        <v>7.594291305826517E-5</v>
      </c>
    </row>
    <row r="115" spans="1:5" x14ac:dyDescent="0.2">
      <c r="A115" s="5">
        <v>113</v>
      </c>
      <c r="B115" s="1">
        <v>43159</v>
      </c>
      <c r="C115" t="s">
        <v>29</v>
      </c>
      <c r="D115" t="s">
        <v>32</v>
      </c>
      <c r="E115">
        <v>9.622931323632339E-4</v>
      </c>
    </row>
    <row r="116" spans="1:5" x14ac:dyDescent="0.2">
      <c r="A116" s="5">
        <v>114</v>
      </c>
      <c r="B116" s="1">
        <v>43159</v>
      </c>
      <c r="C116" t="s">
        <v>29</v>
      </c>
      <c r="D116" t="s">
        <v>30</v>
      </c>
      <c r="E116">
        <v>3.3700594767360618E-4</v>
      </c>
    </row>
    <row r="117" spans="1:5" x14ac:dyDescent="0.2">
      <c r="A117" s="5">
        <v>115</v>
      </c>
      <c r="B117" s="1">
        <v>43159</v>
      </c>
      <c r="C117" t="s">
        <v>29</v>
      </c>
      <c r="D117" t="s">
        <v>47</v>
      </c>
    </row>
    <row r="118" spans="1:5" x14ac:dyDescent="0.2">
      <c r="A118" s="5">
        <v>116</v>
      </c>
      <c r="B118" s="1">
        <v>43159</v>
      </c>
      <c r="C118" t="s">
        <v>29</v>
      </c>
      <c r="D118" t="s">
        <v>141</v>
      </c>
    </row>
    <row r="119" spans="1:5" x14ac:dyDescent="0.2">
      <c r="A119" s="5">
        <v>117</v>
      </c>
      <c r="B119" s="1">
        <v>43159</v>
      </c>
      <c r="C119" t="s">
        <v>29</v>
      </c>
      <c r="D119" t="s">
        <v>205</v>
      </c>
    </row>
    <row r="120" spans="1:5" x14ac:dyDescent="0.2">
      <c r="A120" s="5">
        <v>118</v>
      </c>
      <c r="B120" s="1">
        <v>43159</v>
      </c>
      <c r="C120" t="s">
        <v>29</v>
      </c>
      <c r="D120" t="s">
        <v>164</v>
      </c>
    </row>
    <row r="121" spans="1:5" x14ac:dyDescent="0.2">
      <c r="A121" s="5">
        <v>119</v>
      </c>
      <c r="B121" s="1">
        <v>43159</v>
      </c>
      <c r="C121" t="s">
        <v>29</v>
      </c>
      <c r="D121" t="s">
        <v>68</v>
      </c>
      <c r="E121">
        <v>4.6474841961890316</v>
      </c>
    </row>
    <row r="122" spans="1:5" x14ac:dyDescent="0.2">
      <c r="A122" s="5">
        <v>120</v>
      </c>
      <c r="B122" s="1">
        <v>43159</v>
      </c>
      <c r="C122" t="s">
        <v>29</v>
      </c>
      <c r="D122" t="s">
        <v>177</v>
      </c>
      <c r="E122">
        <v>1.3295888150330543E-3</v>
      </c>
    </row>
    <row r="123" spans="1:5" x14ac:dyDescent="0.2">
      <c r="A123" s="5">
        <v>121</v>
      </c>
      <c r="B123" s="1">
        <v>43159</v>
      </c>
      <c r="C123" t="s">
        <v>29</v>
      </c>
      <c r="D123" t="s">
        <v>178</v>
      </c>
    </row>
    <row r="124" spans="1:5" x14ac:dyDescent="0.2">
      <c r="A124" s="5">
        <v>122</v>
      </c>
      <c r="B124" s="1">
        <v>43159</v>
      </c>
      <c r="C124" t="s">
        <v>29</v>
      </c>
      <c r="D124" t="s">
        <v>179</v>
      </c>
    </row>
    <row r="125" spans="1:5" x14ac:dyDescent="0.2">
      <c r="A125" s="5">
        <v>123</v>
      </c>
      <c r="B125" s="1">
        <v>43159</v>
      </c>
      <c r="C125" t="s">
        <v>29</v>
      </c>
      <c r="D125" t="s">
        <v>180</v>
      </c>
    </row>
    <row r="126" spans="1:5" x14ac:dyDescent="0.2">
      <c r="A126" s="5">
        <v>124</v>
      </c>
      <c r="B126" s="1">
        <v>43159</v>
      </c>
      <c r="C126" t="s">
        <v>29</v>
      </c>
      <c r="D126" t="s">
        <v>181</v>
      </c>
    </row>
    <row r="127" spans="1:5" x14ac:dyDescent="0.2">
      <c r="A127" s="5">
        <v>125</v>
      </c>
      <c r="B127" s="1">
        <v>43159</v>
      </c>
      <c r="C127" t="s">
        <v>29</v>
      </c>
      <c r="D127" t="s">
        <v>182</v>
      </c>
      <c r="E127">
        <v>4.5653178062051125E-5</v>
      </c>
    </row>
    <row r="128" spans="1:5" x14ac:dyDescent="0.2">
      <c r="A128" s="5">
        <v>126</v>
      </c>
      <c r="B128" s="1">
        <v>43159</v>
      </c>
      <c r="C128" t="s">
        <v>49</v>
      </c>
      <c r="D128" t="s">
        <v>39</v>
      </c>
      <c r="E128">
        <v>1.1506894299214065E-4</v>
      </c>
    </row>
    <row r="129" spans="1:5" x14ac:dyDescent="0.2">
      <c r="A129" s="5">
        <v>127</v>
      </c>
      <c r="B129" s="1">
        <v>43159</v>
      </c>
      <c r="C129" t="s">
        <v>49</v>
      </c>
      <c r="D129" t="s">
        <v>32</v>
      </c>
      <c r="E129">
        <v>2.2148074949615462E-3</v>
      </c>
    </row>
    <row r="130" spans="1:5" x14ac:dyDescent="0.2">
      <c r="A130" s="5">
        <v>128</v>
      </c>
      <c r="B130" s="1">
        <v>43159</v>
      </c>
      <c r="C130" t="s">
        <v>49</v>
      </c>
      <c r="D130" t="s">
        <v>30</v>
      </c>
      <c r="E130">
        <v>8.850903108590985E-5</v>
      </c>
    </row>
    <row r="131" spans="1:5" x14ac:dyDescent="0.2">
      <c r="A131" s="5">
        <v>129</v>
      </c>
      <c r="B131" s="1">
        <v>43159</v>
      </c>
      <c r="C131" t="s">
        <v>49</v>
      </c>
      <c r="D131" t="s">
        <v>47</v>
      </c>
    </row>
    <row r="132" spans="1:5" x14ac:dyDescent="0.2">
      <c r="A132" s="5">
        <v>130</v>
      </c>
      <c r="B132" s="1">
        <v>43159</v>
      </c>
      <c r="C132" t="s">
        <v>49</v>
      </c>
      <c r="D132" t="s">
        <v>141</v>
      </c>
    </row>
    <row r="133" spans="1:5" x14ac:dyDescent="0.2">
      <c r="A133" s="5">
        <v>131</v>
      </c>
      <c r="B133" s="1">
        <v>43159</v>
      </c>
      <c r="C133" t="s">
        <v>49</v>
      </c>
      <c r="D133" t="s">
        <v>205</v>
      </c>
    </row>
    <row r="134" spans="1:5" x14ac:dyDescent="0.2">
      <c r="A134" s="5">
        <v>132</v>
      </c>
      <c r="B134" s="1">
        <v>43159</v>
      </c>
      <c r="C134" t="s">
        <v>49</v>
      </c>
      <c r="D134" t="s">
        <v>164</v>
      </c>
    </row>
    <row r="135" spans="1:5" x14ac:dyDescent="0.2">
      <c r="A135" s="5">
        <v>133</v>
      </c>
      <c r="B135" s="1">
        <v>43159</v>
      </c>
      <c r="C135" t="s">
        <v>49</v>
      </c>
      <c r="D135" t="s">
        <v>68</v>
      </c>
      <c r="E135">
        <v>6.1178569324078778</v>
      </c>
    </row>
    <row r="136" spans="1:5" x14ac:dyDescent="0.2">
      <c r="A136" s="5">
        <v>134</v>
      </c>
      <c r="B136" s="1">
        <v>43159</v>
      </c>
      <c r="C136" t="s">
        <v>49</v>
      </c>
      <c r="D136" t="s">
        <v>177</v>
      </c>
      <c r="E136">
        <v>5.145737774329167E-4</v>
      </c>
    </row>
    <row r="137" spans="1:5" x14ac:dyDescent="0.2">
      <c r="A137" s="5">
        <v>135</v>
      </c>
      <c r="B137" s="1">
        <v>43159</v>
      </c>
      <c r="C137" t="s">
        <v>49</v>
      </c>
      <c r="D137" t="s">
        <v>178</v>
      </c>
    </row>
    <row r="138" spans="1:5" x14ac:dyDescent="0.2">
      <c r="A138" s="5">
        <v>136</v>
      </c>
      <c r="B138" s="1">
        <v>43159</v>
      </c>
      <c r="C138" t="s">
        <v>49</v>
      </c>
      <c r="D138" t="s">
        <v>179</v>
      </c>
    </row>
    <row r="139" spans="1:5" x14ac:dyDescent="0.2">
      <c r="A139" s="5">
        <v>137</v>
      </c>
      <c r="B139" s="1">
        <v>43159</v>
      </c>
      <c r="C139" t="s">
        <v>49</v>
      </c>
      <c r="D139" t="s">
        <v>180</v>
      </c>
    </row>
    <row r="140" spans="1:5" x14ac:dyDescent="0.2">
      <c r="A140" s="5">
        <v>138</v>
      </c>
      <c r="B140" s="1">
        <v>43159</v>
      </c>
      <c r="C140" t="s">
        <v>49</v>
      </c>
      <c r="D140" t="s">
        <v>181</v>
      </c>
    </row>
    <row r="141" spans="1:5" x14ac:dyDescent="0.2">
      <c r="A141" s="5">
        <v>139</v>
      </c>
      <c r="B141" s="1">
        <v>43159</v>
      </c>
      <c r="C141" t="s">
        <v>49</v>
      </c>
      <c r="D141" t="s">
        <v>182</v>
      </c>
      <c r="E141">
        <v>1.9038116916066802E-3</v>
      </c>
    </row>
    <row r="142" spans="1:5" x14ac:dyDescent="0.2">
      <c r="A142" s="5">
        <v>140</v>
      </c>
      <c r="B142" s="1">
        <v>43158</v>
      </c>
      <c r="C142" t="s">
        <v>29</v>
      </c>
      <c r="D142" t="s">
        <v>39</v>
      </c>
      <c r="E142">
        <v>3.1601070970842035E-5</v>
      </c>
    </row>
    <row r="143" spans="1:5" x14ac:dyDescent="0.2">
      <c r="A143" s="5">
        <v>141</v>
      </c>
      <c r="B143" s="1">
        <v>43158</v>
      </c>
      <c r="C143" t="s">
        <v>29</v>
      </c>
      <c r="D143" t="s">
        <v>32</v>
      </c>
      <c r="E143">
        <v>9.9944379865244543E-4</v>
      </c>
    </row>
    <row r="144" spans="1:5" x14ac:dyDescent="0.2">
      <c r="A144" s="5">
        <v>142</v>
      </c>
      <c r="B144" s="1">
        <v>43158</v>
      </c>
      <c r="C144" t="s">
        <v>29</v>
      </c>
      <c r="D144" t="s">
        <v>30</v>
      </c>
      <c r="E144">
        <v>3.0340691158382718E-4</v>
      </c>
    </row>
    <row r="145" spans="1:5" x14ac:dyDescent="0.2">
      <c r="A145" s="5">
        <v>143</v>
      </c>
      <c r="B145" s="1">
        <v>43158</v>
      </c>
      <c r="C145" t="s">
        <v>29</v>
      </c>
      <c r="D145" t="s">
        <v>47</v>
      </c>
    </row>
    <row r="146" spans="1:5" x14ac:dyDescent="0.2">
      <c r="A146" s="5">
        <v>144</v>
      </c>
      <c r="B146" s="1">
        <v>43158</v>
      </c>
      <c r="C146" t="s">
        <v>29</v>
      </c>
      <c r="D146" t="s">
        <v>141</v>
      </c>
    </row>
    <row r="147" spans="1:5" x14ac:dyDescent="0.2">
      <c r="A147" s="5">
        <v>145</v>
      </c>
      <c r="B147" s="1">
        <v>43158</v>
      </c>
      <c r="C147" t="s">
        <v>29</v>
      </c>
      <c r="D147" t="s">
        <v>205</v>
      </c>
    </row>
    <row r="148" spans="1:5" x14ac:dyDescent="0.2">
      <c r="A148" s="5">
        <v>146</v>
      </c>
      <c r="B148" s="1">
        <v>43158</v>
      </c>
      <c r="C148" t="s">
        <v>29</v>
      </c>
      <c r="D148" t="s">
        <v>164</v>
      </c>
    </row>
    <row r="149" spans="1:5" x14ac:dyDescent="0.2">
      <c r="A149" s="5">
        <v>147</v>
      </c>
      <c r="B149" s="1">
        <v>43158</v>
      </c>
      <c r="C149" t="s">
        <v>29</v>
      </c>
      <c r="D149" t="s">
        <v>68</v>
      </c>
      <c r="E149">
        <v>4.6334490541777109</v>
      </c>
    </row>
    <row r="150" spans="1:5" x14ac:dyDescent="0.2">
      <c r="A150" s="5">
        <v>148</v>
      </c>
      <c r="B150" s="1">
        <v>43158</v>
      </c>
      <c r="C150" t="s">
        <v>29</v>
      </c>
      <c r="D150" t="s">
        <v>177</v>
      </c>
      <c r="E150">
        <v>8.4453543475785709E-4</v>
      </c>
    </row>
    <row r="151" spans="1:5" x14ac:dyDescent="0.2">
      <c r="A151" s="5">
        <v>149</v>
      </c>
      <c r="B151" s="1">
        <v>43158</v>
      </c>
      <c r="C151" t="s">
        <v>29</v>
      </c>
      <c r="D151" t="s">
        <v>178</v>
      </c>
    </row>
    <row r="152" spans="1:5" x14ac:dyDescent="0.2">
      <c r="A152" s="5">
        <v>150</v>
      </c>
      <c r="B152" s="1">
        <v>43158</v>
      </c>
      <c r="C152" t="s">
        <v>29</v>
      </c>
      <c r="D152" t="s">
        <v>179</v>
      </c>
    </row>
    <row r="153" spans="1:5" x14ac:dyDescent="0.2">
      <c r="A153" s="5">
        <v>151</v>
      </c>
      <c r="B153" s="1">
        <v>43158</v>
      </c>
      <c r="C153" t="s">
        <v>29</v>
      </c>
      <c r="D153" t="s">
        <v>180</v>
      </c>
    </row>
    <row r="154" spans="1:5" x14ac:dyDescent="0.2">
      <c r="A154" s="5">
        <v>152</v>
      </c>
      <c r="B154" s="1">
        <v>43158</v>
      </c>
      <c r="C154" t="s">
        <v>29</v>
      </c>
      <c r="D154" t="s">
        <v>181</v>
      </c>
    </row>
    <row r="155" spans="1:5" x14ac:dyDescent="0.2">
      <c r="A155" s="5">
        <v>153</v>
      </c>
      <c r="B155" s="1">
        <v>43158</v>
      </c>
      <c r="C155" t="s">
        <v>29</v>
      </c>
      <c r="D155" t="s">
        <v>182</v>
      </c>
      <c r="E155">
        <v>4.8991634644925727E-4</v>
      </c>
    </row>
    <row r="156" spans="1:5" x14ac:dyDescent="0.2">
      <c r="A156" s="5">
        <v>154</v>
      </c>
      <c r="B156" s="1">
        <v>43158</v>
      </c>
      <c r="C156" t="s">
        <v>49</v>
      </c>
      <c r="D156" t="s">
        <v>39</v>
      </c>
      <c r="E156">
        <v>1.280810167589366E-4</v>
      </c>
    </row>
    <row r="157" spans="1:5" x14ac:dyDescent="0.2">
      <c r="A157" s="5">
        <v>155</v>
      </c>
      <c r="B157" s="1">
        <v>43158</v>
      </c>
      <c r="C157" t="s">
        <v>49</v>
      </c>
      <c r="D157" t="s">
        <v>32</v>
      </c>
      <c r="E157">
        <v>2.1660831367733622E-3</v>
      </c>
    </row>
    <row r="158" spans="1:5" x14ac:dyDescent="0.2">
      <c r="A158" s="5">
        <v>156</v>
      </c>
      <c r="B158" s="1">
        <v>43158</v>
      </c>
      <c r="C158" t="s">
        <v>49</v>
      </c>
      <c r="D158" t="s">
        <v>30</v>
      </c>
      <c r="E158">
        <v>1.3475012852323193E-4</v>
      </c>
    </row>
    <row r="159" spans="1:5" x14ac:dyDescent="0.2">
      <c r="A159" s="5">
        <v>157</v>
      </c>
      <c r="B159" s="1">
        <v>43158</v>
      </c>
      <c r="C159" t="s">
        <v>49</v>
      </c>
      <c r="D159" t="s">
        <v>47</v>
      </c>
    </row>
    <row r="160" spans="1:5" x14ac:dyDescent="0.2">
      <c r="A160" s="5">
        <v>158</v>
      </c>
      <c r="B160" s="1">
        <v>43158</v>
      </c>
      <c r="C160" t="s">
        <v>49</v>
      </c>
      <c r="D160" t="s">
        <v>141</v>
      </c>
    </row>
    <row r="161" spans="1:5" x14ac:dyDescent="0.2">
      <c r="A161" s="5">
        <v>159</v>
      </c>
      <c r="B161" s="1">
        <v>43158</v>
      </c>
      <c r="C161" t="s">
        <v>49</v>
      </c>
      <c r="D161" t="s">
        <v>205</v>
      </c>
    </row>
    <row r="162" spans="1:5" x14ac:dyDescent="0.2">
      <c r="A162" s="5">
        <v>160</v>
      </c>
      <c r="B162" s="1">
        <v>43158</v>
      </c>
      <c r="C162" t="s">
        <v>49</v>
      </c>
      <c r="D162" t="s">
        <v>164</v>
      </c>
    </row>
    <row r="163" spans="1:5" x14ac:dyDescent="0.2">
      <c r="A163" s="5">
        <v>161</v>
      </c>
      <c r="B163" s="1">
        <v>43158</v>
      </c>
      <c r="C163" t="s">
        <v>49</v>
      </c>
      <c r="D163" t="s">
        <v>68</v>
      </c>
      <c r="E163">
        <v>6.1104830744520608</v>
      </c>
    </row>
    <row r="164" spans="1:5" x14ac:dyDescent="0.2">
      <c r="A164" s="5">
        <v>162</v>
      </c>
      <c r="B164" s="1">
        <v>43158</v>
      </c>
      <c r="C164" t="s">
        <v>49</v>
      </c>
      <c r="D164" t="s">
        <v>177</v>
      </c>
      <c r="E164">
        <v>7.6836617966919048E-4</v>
      </c>
    </row>
    <row r="165" spans="1:5" x14ac:dyDescent="0.2">
      <c r="A165" s="5">
        <v>163</v>
      </c>
      <c r="B165" s="1">
        <v>43158</v>
      </c>
      <c r="C165" t="s">
        <v>49</v>
      </c>
      <c r="D165" t="s">
        <v>178</v>
      </c>
    </row>
    <row r="166" spans="1:5" x14ac:dyDescent="0.2">
      <c r="A166" s="5">
        <v>164</v>
      </c>
      <c r="B166" s="1">
        <v>43158</v>
      </c>
      <c r="C166" t="s">
        <v>49</v>
      </c>
      <c r="D166" t="s">
        <v>179</v>
      </c>
    </row>
    <row r="167" spans="1:5" x14ac:dyDescent="0.2">
      <c r="A167" s="5">
        <v>165</v>
      </c>
      <c r="B167" s="1">
        <v>43158</v>
      </c>
      <c r="C167" t="s">
        <v>49</v>
      </c>
      <c r="D167" t="s">
        <v>180</v>
      </c>
    </row>
    <row r="168" spans="1:5" x14ac:dyDescent="0.2">
      <c r="A168" s="5">
        <v>166</v>
      </c>
      <c r="B168" s="1">
        <v>43158</v>
      </c>
      <c r="C168" t="s">
        <v>49</v>
      </c>
      <c r="D168" t="s">
        <v>181</v>
      </c>
    </row>
    <row r="169" spans="1:5" x14ac:dyDescent="0.2">
      <c r="A169" s="5">
        <v>167</v>
      </c>
      <c r="B169" s="1">
        <v>43158</v>
      </c>
      <c r="C169" t="s">
        <v>49</v>
      </c>
      <c r="D169" t="s">
        <v>182</v>
      </c>
      <c r="E169">
        <v>1.6605481023863405E-3</v>
      </c>
    </row>
    <row r="170" spans="1:5" x14ac:dyDescent="0.2">
      <c r="A170" s="5">
        <v>168</v>
      </c>
      <c r="B170" s="1">
        <v>43157</v>
      </c>
      <c r="C170" t="s">
        <v>29</v>
      </c>
      <c r="D170" t="s">
        <v>39</v>
      </c>
      <c r="E170">
        <v>3.2890999177687703E-5</v>
      </c>
    </row>
    <row r="171" spans="1:5" x14ac:dyDescent="0.2">
      <c r="A171" s="5">
        <v>169</v>
      </c>
      <c r="B171" s="1">
        <v>43157</v>
      </c>
      <c r="C171" t="s">
        <v>29</v>
      </c>
      <c r="D171" t="s">
        <v>32</v>
      </c>
      <c r="E171">
        <v>1.053395876857127E-3</v>
      </c>
    </row>
    <row r="172" spans="1:5" x14ac:dyDescent="0.2">
      <c r="A172" s="5">
        <v>170</v>
      </c>
      <c r="B172" s="1">
        <v>43157</v>
      </c>
      <c r="C172" t="s">
        <v>29</v>
      </c>
      <c r="D172" t="s">
        <v>30</v>
      </c>
      <c r="E172">
        <v>2.9375530718979279E-4</v>
      </c>
    </row>
    <row r="173" spans="1:5" x14ac:dyDescent="0.2">
      <c r="A173" s="5">
        <v>171</v>
      </c>
      <c r="B173" s="1">
        <v>43157</v>
      </c>
      <c r="C173" t="s">
        <v>29</v>
      </c>
      <c r="D173" t="s">
        <v>47</v>
      </c>
    </row>
    <row r="174" spans="1:5" x14ac:dyDescent="0.2">
      <c r="A174" s="5">
        <v>172</v>
      </c>
      <c r="B174" s="1">
        <v>43157</v>
      </c>
      <c r="C174" t="s">
        <v>29</v>
      </c>
      <c r="D174" t="s">
        <v>141</v>
      </c>
    </row>
    <row r="175" spans="1:5" x14ac:dyDescent="0.2">
      <c r="A175" s="5">
        <v>173</v>
      </c>
      <c r="B175" s="1">
        <v>43157</v>
      </c>
      <c r="C175" t="s">
        <v>29</v>
      </c>
      <c r="D175" t="s">
        <v>205</v>
      </c>
    </row>
    <row r="176" spans="1:5" x14ac:dyDescent="0.2">
      <c r="A176" s="5">
        <v>174</v>
      </c>
      <c r="B176" s="1">
        <v>43157</v>
      </c>
      <c r="C176" t="s">
        <v>29</v>
      </c>
      <c r="D176" t="s">
        <v>164</v>
      </c>
    </row>
    <row r="177" spans="1:5" x14ac:dyDescent="0.2">
      <c r="A177" s="5">
        <v>175</v>
      </c>
      <c r="B177" s="1">
        <v>43157</v>
      </c>
      <c r="C177" t="s">
        <v>29</v>
      </c>
      <c r="D177" t="s">
        <v>68</v>
      </c>
      <c r="E177">
        <v>4.6389219407506301</v>
      </c>
    </row>
    <row r="178" spans="1:5" x14ac:dyDescent="0.2">
      <c r="A178" s="5">
        <v>176</v>
      </c>
      <c r="B178" s="1">
        <v>43157</v>
      </c>
      <c r="C178" t="s">
        <v>29</v>
      </c>
      <c r="D178" t="s">
        <v>177</v>
      </c>
      <c r="E178">
        <v>7.3653527097140414E-4</v>
      </c>
    </row>
    <row r="179" spans="1:5" x14ac:dyDescent="0.2">
      <c r="A179" s="5">
        <v>177</v>
      </c>
      <c r="B179" s="1">
        <v>43157</v>
      </c>
      <c r="C179" t="s">
        <v>29</v>
      </c>
      <c r="D179" t="s">
        <v>178</v>
      </c>
    </row>
    <row r="180" spans="1:5" x14ac:dyDescent="0.2">
      <c r="A180" s="5">
        <v>178</v>
      </c>
      <c r="B180" s="1">
        <v>43157</v>
      </c>
      <c r="C180" t="s">
        <v>29</v>
      </c>
      <c r="D180" t="s">
        <v>179</v>
      </c>
    </row>
    <row r="181" spans="1:5" x14ac:dyDescent="0.2">
      <c r="A181" s="5">
        <v>179</v>
      </c>
      <c r="B181" s="1">
        <v>43157</v>
      </c>
      <c r="C181" t="s">
        <v>29</v>
      </c>
      <c r="D181" t="s">
        <v>180</v>
      </c>
    </row>
    <row r="182" spans="1:5" x14ac:dyDescent="0.2">
      <c r="A182" s="5">
        <v>180</v>
      </c>
      <c r="B182" s="1">
        <v>43157</v>
      </c>
      <c r="C182" t="s">
        <v>29</v>
      </c>
      <c r="D182" t="s">
        <v>181</v>
      </c>
    </row>
    <row r="183" spans="1:5" x14ac:dyDescent="0.2">
      <c r="A183" s="5">
        <v>181</v>
      </c>
      <c r="B183" s="1">
        <v>43157</v>
      </c>
      <c r="C183" t="s">
        <v>29</v>
      </c>
      <c r="D183" t="s">
        <v>182</v>
      </c>
      <c r="E183">
        <v>6.4350691225320404E-4</v>
      </c>
    </row>
    <row r="184" spans="1:5" x14ac:dyDescent="0.2">
      <c r="A184" s="5">
        <v>182</v>
      </c>
      <c r="B184" s="1">
        <v>43157</v>
      </c>
      <c r="C184" t="s">
        <v>49</v>
      </c>
      <c r="D184" t="s">
        <v>39</v>
      </c>
      <c r="E184">
        <v>1.3835223148752927E-4</v>
      </c>
    </row>
    <row r="185" spans="1:5" x14ac:dyDescent="0.2">
      <c r="A185" s="5">
        <v>183</v>
      </c>
      <c r="B185" s="1">
        <v>43157</v>
      </c>
      <c r="C185" t="s">
        <v>49</v>
      </c>
      <c r="D185" t="s">
        <v>32</v>
      </c>
      <c r="E185">
        <v>2.2359011913689218E-3</v>
      </c>
    </row>
    <row r="186" spans="1:5" x14ac:dyDescent="0.2">
      <c r="A186" s="5">
        <v>184</v>
      </c>
      <c r="B186" s="1">
        <v>43157</v>
      </c>
      <c r="C186" t="s">
        <v>49</v>
      </c>
      <c r="D186" t="s">
        <v>30</v>
      </c>
      <c r="E186">
        <v>1.2081976642342418E-4</v>
      </c>
    </row>
    <row r="187" spans="1:5" x14ac:dyDescent="0.2">
      <c r="A187" s="5">
        <v>185</v>
      </c>
      <c r="B187" s="1">
        <v>43157</v>
      </c>
      <c r="C187" t="s">
        <v>49</v>
      </c>
      <c r="D187" t="s">
        <v>47</v>
      </c>
    </row>
    <row r="188" spans="1:5" x14ac:dyDescent="0.2">
      <c r="A188" s="5">
        <v>186</v>
      </c>
      <c r="B188" s="1">
        <v>43157</v>
      </c>
      <c r="C188" t="s">
        <v>49</v>
      </c>
      <c r="D188" t="s">
        <v>141</v>
      </c>
    </row>
    <row r="189" spans="1:5" x14ac:dyDescent="0.2">
      <c r="A189" s="5">
        <v>187</v>
      </c>
      <c r="B189" s="1">
        <v>43157</v>
      </c>
      <c r="C189" t="s">
        <v>49</v>
      </c>
      <c r="D189" t="s">
        <v>205</v>
      </c>
    </row>
    <row r="190" spans="1:5" x14ac:dyDescent="0.2">
      <c r="A190" s="5">
        <v>188</v>
      </c>
      <c r="B190" s="1">
        <v>43157</v>
      </c>
      <c r="C190" t="s">
        <v>49</v>
      </c>
      <c r="D190" t="s">
        <v>164</v>
      </c>
    </row>
    <row r="191" spans="1:5" x14ac:dyDescent="0.2">
      <c r="A191" s="5">
        <v>189</v>
      </c>
      <c r="B191" s="1">
        <v>43157</v>
      </c>
      <c r="C191" t="s">
        <v>49</v>
      </c>
      <c r="D191" t="s">
        <v>68</v>
      </c>
      <c r="E191">
        <v>6.118177740245641</v>
      </c>
    </row>
    <row r="192" spans="1:5" x14ac:dyDescent="0.2">
      <c r="A192" s="5">
        <v>190</v>
      </c>
      <c r="B192" s="1">
        <v>43157</v>
      </c>
      <c r="C192" t="s">
        <v>49</v>
      </c>
      <c r="D192" t="s">
        <v>177</v>
      </c>
      <c r="E192">
        <v>7.7485530928548911E-4</v>
      </c>
    </row>
    <row r="193" spans="1:5" x14ac:dyDescent="0.2">
      <c r="A193" s="5">
        <v>191</v>
      </c>
      <c r="B193" s="1">
        <v>43157</v>
      </c>
      <c r="C193" t="s">
        <v>49</v>
      </c>
      <c r="D193" t="s">
        <v>178</v>
      </c>
    </row>
    <row r="194" spans="1:5" x14ac:dyDescent="0.2">
      <c r="A194" s="5">
        <v>192</v>
      </c>
      <c r="B194" s="1">
        <v>43157</v>
      </c>
      <c r="C194" t="s">
        <v>49</v>
      </c>
      <c r="D194" t="s">
        <v>179</v>
      </c>
    </row>
    <row r="195" spans="1:5" x14ac:dyDescent="0.2">
      <c r="A195" s="5">
        <v>193</v>
      </c>
      <c r="B195" s="1">
        <v>43157</v>
      </c>
      <c r="C195" t="s">
        <v>49</v>
      </c>
      <c r="D195" t="s">
        <v>180</v>
      </c>
    </row>
    <row r="196" spans="1:5" x14ac:dyDescent="0.2">
      <c r="A196" s="5">
        <v>194</v>
      </c>
      <c r="B196" s="1">
        <v>43157</v>
      </c>
      <c r="C196" t="s">
        <v>49</v>
      </c>
      <c r="D196" t="s">
        <v>181</v>
      </c>
    </row>
    <row r="197" spans="1:5" x14ac:dyDescent="0.2">
      <c r="A197" s="5">
        <v>195</v>
      </c>
      <c r="B197" s="1">
        <v>43157</v>
      </c>
      <c r="C197" t="s">
        <v>49</v>
      </c>
      <c r="D197" t="s">
        <v>182</v>
      </c>
      <c r="E197">
        <v>1.7202178799943875E-3</v>
      </c>
    </row>
    <row r="198" spans="1:5" x14ac:dyDescent="0.2">
      <c r="A198" s="5">
        <v>196</v>
      </c>
      <c r="B198" s="1">
        <v>43154</v>
      </c>
      <c r="C198" t="s">
        <v>29</v>
      </c>
      <c r="D198" t="s">
        <v>39</v>
      </c>
      <c r="E198">
        <v>3.1414731865068231E-5</v>
      </c>
    </row>
    <row r="199" spans="1:5" x14ac:dyDescent="0.2">
      <c r="A199" s="5">
        <v>197</v>
      </c>
      <c r="B199" s="1">
        <v>43154</v>
      </c>
      <c r="C199" t="s">
        <v>29</v>
      </c>
      <c r="D199" t="s">
        <v>32</v>
      </c>
      <c r="E199">
        <v>1.0852655525452827E-3</v>
      </c>
    </row>
    <row r="200" spans="1:5" x14ac:dyDescent="0.2">
      <c r="A200" s="5">
        <v>198</v>
      </c>
      <c r="B200" s="1">
        <v>43154</v>
      </c>
      <c r="C200" t="s">
        <v>29</v>
      </c>
      <c r="D200" t="s">
        <v>30</v>
      </c>
      <c r="E200">
        <v>3.0696039234277427E-4</v>
      </c>
    </row>
    <row r="201" spans="1:5" x14ac:dyDescent="0.2">
      <c r="A201" s="5">
        <v>199</v>
      </c>
      <c r="B201" s="1">
        <v>43154</v>
      </c>
      <c r="C201" t="s">
        <v>29</v>
      </c>
      <c r="D201" t="s">
        <v>47</v>
      </c>
    </row>
    <row r="202" spans="1:5" x14ac:dyDescent="0.2">
      <c r="A202" s="5">
        <v>200</v>
      </c>
      <c r="B202" s="1">
        <v>43154</v>
      </c>
      <c r="C202" t="s">
        <v>29</v>
      </c>
      <c r="D202" t="s">
        <v>141</v>
      </c>
    </row>
    <row r="203" spans="1:5" x14ac:dyDescent="0.2">
      <c r="A203" s="5">
        <v>201</v>
      </c>
      <c r="B203" s="1">
        <v>43154</v>
      </c>
      <c r="C203" t="s">
        <v>29</v>
      </c>
      <c r="D203" t="s">
        <v>205</v>
      </c>
    </row>
    <row r="204" spans="1:5" x14ac:dyDescent="0.2">
      <c r="A204" s="5">
        <v>202</v>
      </c>
      <c r="B204" s="1">
        <v>43154</v>
      </c>
      <c r="C204" t="s">
        <v>29</v>
      </c>
      <c r="D204" t="s">
        <v>164</v>
      </c>
    </row>
    <row r="205" spans="1:5" x14ac:dyDescent="0.2">
      <c r="A205" s="5">
        <v>203</v>
      </c>
      <c r="B205" s="1">
        <v>43154</v>
      </c>
      <c r="C205" t="s">
        <v>29</v>
      </c>
      <c r="D205" t="s">
        <v>68</v>
      </c>
      <c r="E205">
        <v>4.6487405144314877</v>
      </c>
    </row>
    <row r="206" spans="1:5" x14ac:dyDescent="0.2">
      <c r="A206" s="5">
        <v>204</v>
      </c>
      <c r="B206" s="1">
        <v>43154</v>
      </c>
      <c r="C206" t="s">
        <v>29</v>
      </c>
      <c r="D206" t="s">
        <v>177</v>
      </c>
      <c r="E206">
        <v>7.8426753167267654E-4</v>
      </c>
    </row>
    <row r="207" spans="1:5" x14ac:dyDescent="0.2">
      <c r="A207" s="5">
        <v>205</v>
      </c>
      <c r="B207" s="1">
        <v>43154</v>
      </c>
      <c r="C207" t="s">
        <v>29</v>
      </c>
      <c r="D207" t="s">
        <v>178</v>
      </c>
    </row>
    <row r="208" spans="1:5" x14ac:dyDescent="0.2">
      <c r="A208" s="5">
        <v>206</v>
      </c>
      <c r="B208" s="1">
        <v>43154</v>
      </c>
      <c r="C208" t="s">
        <v>29</v>
      </c>
      <c r="D208" t="s">
        <v>179</v>
      </c>
    </row>
    <row r="209" spans="1:5" x14ac:dyDescent="0.2">
      <c r="A209" s="5">
        <v>207</v>
      </c>
      <c r="B209" s="1">
        <v>43154</v>
      </c>
      <c r="C209" t="s">
        <v>29</v>
      </c>
      <c r="D209" t="s">
        <v>180</v>
      </c>
    </row>
    <row r="210" spans="1:5" x14ac:dyDescent="0.2">
      <c r="A210" s="5">
        <v>208</v>
      </c>
      <c r="B210" s="1">
        <v>43154</v>
      </c>
      <c r="C210" t="s">
        <v>29</v>
      </c>
      <c r="D210" t="s">
        <v>181</v>
      </c>
    </row>
    <row r="211" spans="1:5" x14ac:dyDescent="0.2">
      <c r="A211" s="5">
        <v>209</v>
      </c>
      <c r="B211" s="1">
        <v>43154</v>
      </c>
      <c r="C211" t="s">
        <v>29</v>
      </c>
      <c r="D211" t="s">
        <v>182</v>
      </c>
      <c r="E211">
        <v>6.3937314508044814E-4</v>
      </c>
    </row>
    <row r="212" spans="1:5" x14ac:dyDescent="0.2">
      <c r="A212" s="5">
        <v>210</v>
      </c>
      <c r="B212" s="1">
        <v>43154</v>
      </c>
      <c r="C212" t="s">
        <v>49</v>
      </c>
      <c r="D212" t="s">
        <v>39</v>
      </c>
      <c r="E212">
        <v>1.4858697331068189E-4</v>
      </c>
    </row>
    <row r="213" spans="1:5" x14ac:dyDescent="0.2">
      <c r="A213" s="5">
        <v>211</v>
      </c>
      <c r="B213" s="1">
        <v>43154</v>
      </c>
      <c r="C213" t="s">
        <v>49</v>
      </c>
      <c r="D213" t="s">
        <v>32</v>
      </c>
      <c r="E213">
        <v>2.2325669468179713E-3</v>
      </c>
    </row>
    <row r="214" spans="1:5" x14ac:dyDescent="0.2">
      <c r="A214" s="5">
        <v>212</v>
      </c>
      <c r="B214" s="1">
        <v>43154</v>
      </c>
      <c r="C214" t="s">
        <v>49</v>
      </c>
      <c r="D214" t="s">
        <v>30</v>
      </c>
      <c r="E214">
        <v>2.6116892182246069E-4</v>
      </c>
    </row>
    <row r="215" spans="1:5" x14ac:dyDescent="0.2">
      <c r="A215" s="5">
        <v>213</v>
      </c>
      <c r="B215" s="1">
        <v>43154</v>
      </c>
      <c r="C215" t="s">
        <v>49</v>
      </c>
      <c r="D215" t="s">
        <v>47</v>
      </c>
    </row>
    <row r="216" spans="1:5" x14ac:dyDescent="0.2">
      <c r="A216" s="5">
        <v>214</v>
      </c>
      <c r="B216" s="1">
        <v>43154</v>
      </c>
      <c r="C216" t="s">
        <v>49</v>
      </c>
      <c r="D216" t="s">
        <v>141</v>
      </c>
    </row>
    <row r="217" spans="1:5" x14ac:dyDescent="0.2">
      <c r="A217" s="5">
        <v>215</v>
      </c>
      <c r="B217" s="1">
        <v>43154</v>
      </c>
      <c r="C217" t="s">
        <v>49</v>
      </c>
      <c r="D217" t="s">
        <v>205</v>
      </c>
    </row>
    <row r="218" spans="1:5" x14ac:dyDescent="0.2">
      <c r="A218" s="5">
        <v>216</v>
      </c>
      <c r="B218" s="1">
        <v>43154</v>
      </c>
      <c r="C218" t="s">
        <v>49</v>
      </c>
      <c r="D218" t="s">
        <v>164</v>
      </c>
    </row>
    <row r="219" spans="1:5" x14ac:dyDescent="0.2">
      <c r="A219" s="5">
        <v>217</v>
      </c>
      <c r="B219" s="1">
        <v>43154</v>
      </c>
      <c r="C219" t="s">
        <v>49</v>
      </c>
      <c r="D219" t="s">
        <v>68</v>
      </c>
      <c r="E219">
        <v>6.1177676715094789</v>
      </c>
    </row>
    <row r="220" spans="1:5" x14ac:dyDescent="0.2">
      <c r="A220" s="5">
        <v>218</v>
      </c>
      <c r="B220" s="1">
        <v>43154</v>
      </c>
      <c r="C220" t="s">
        <v>49</v>
      </c>
      <c r="D220" t="s">
        <v>177</v>
      </c>
      <c r="E220">
        <v>9.3862171023446038E-4</v>
      </c>
    </row>
    <row r="221" spans="1:5" x14ac:dyDescent="0.2">
      <c r="A221" s="5">
        <v>219</v>
      </c>
      <c r="B221" s="1">
        <v>43154</v>
      </c>
      <c r="C221" t="s">
        <v>49</v>
      </c>
      <c r="D221" t="s">
        <v>178</v>
      </c>
    </row>
    <row r="222" spans="1:5" x14ac:dyDescent="0.2">
      <c r="A222" s="5">
        <v>220</v>
      </c>
      <c r="B222" s="1">
        <v>43154</v>
      </c>
      <c r="C222" t="s">
        <v>49</v>
      </c>
      <c r="D222" t="s">
        <v>179</v>
      </c>
    </row>
    <row r="223" spans="1:5" x14ac:dyDescent="0.2">
      <c r="A223" s="5">
        <v>221</v>
      </c>
      <c r="B223" s="1">
        <v>43154</v>
      </c>
      <c r="C223" t="s">
        <v>49</v>
      </c>
      <c r="D223" t="s">
        <v>180</v>
      </c>
    </row>
    <row r="224" spans="1:5" x14ac:dyDescent="0.2">
      <c r="A224" s="5">
        <v>222</v>
      </c>
      <c r="B224" s="1">
        <v>43154</v>
      </c>
      <c r="C224" t="s">
        <v>49</v>
      </c>
      <c r="D224" t="s">
        <v>181</v>
      </c>
    </row>
    <row r="225" spans="1:5" x14ac:dyDescent="0.2">
      <c r="A225" s="5">
        <v>223</v>
      </c>
      <c r="B225" s="1">
        <v>43154</v>
      </c>
      <c r="C225" t="s">
        <v>49</v>
      </c>
      <c r="D225" t="s">
        <v>182</v>
      </c>
      <c r="E225">
        <v>1.7037011317166532E-3</v>
      </c>
    </row>
    <row r="226" spans="1:5" x14ac:dyDescent="0.2">
      <c r="A226" s="5">
        <v>224</v>
      </c>
      <c r="B226" s="1">
        <v>43153</v>
      </c>
      <c r="C226" t="s">
        <v>29</v>
      </c>
      <c r="D226" t="s">
        <v>39</v>
      </c>
      <c r="E226">
        <v>2.5954308184940681E-5</v>
      </c>
    </row>
    <row r="227" spans="1:5" x14ac:dyDescent="0.2">
      <c r="A227" s="5">
        <v>225</v>
      </c>
      <c r="B227" s="1">
        <v>43153</v>
      </c>
      <c r="C227" t="s">
        <v>29</v>
      </c>
      <c r="D227" t="s">
        <v>32</v>
      </c>
      <c r="E227">
        <v>1.1224645881301744E-3</v>
      </c>
    </row>
    <row r="228" spans="1:5" x14ac:dyDescent="0.2">
      <c r="A228" s="5">
        <v>226</v>
      </c>
      <c r="B228" s="1">
        <v>43153</v>
      </c>
      <c r="C228" t="s">
        <v>29</v>
      </c>
      <c r="D228" t="s">
        <v>30</v>
      </c>
      <c r="E228">
        <v>3.2148677262602176E-4</v>
      </c>
    </row>
    <row r="229" spans="1:5" x14ac:dyDescent="0.2">
      <c r="A229" s="5">
        <v>227</v>
      </c>
      <c r="B229" s="1">
        <v>43153</v>
      </c>
      <c r="C229" t="s">
        <v>29</v>
      </c>
      <c r="D229" t="s">
        <v>47</v>
      </c>
    </row>
    <row r="230" spans="1:5" x14ac:dyDescent="0.2">
      <c r="A230" s="5">
        <v>228</v>
      </c>
      <c r="B230" s="1">
        <v>43153</v>
      </c>
      <c r="C230" t="s">
        <v>29</v>
      </c>
      <c r="D230" t="s">
        <v>141</v>
      </c>
    </row>
    <row r="231" spans="1:5" x14ac:dyDescent="0.2">
      <c r="A231" s="5">
        <v>229</v>
      </c>
      <c r="B231" s="1">
        <v>43153</v>
      </c>
      <c r="C231" t="s">
        <v>29</v>
      </c>
      <c r="D231" t="s">
        <v>205</v>
      </c>
    </row>
    <row r="232" spans="1:5" x14ac:dyDescent="0.2">
      <c r="A232" s="5">
        <v>230</v>
      </c>
      <c r="B232" s="1">
        <v>43153</v>
      </c>
      <c r="C232" t="s">
        <v>29</v>
      </c>
      <c r="D232" t="s">
        <v>164</v>
      </c>
    </row>
    <row r="233" spans="1:5" x14ac:dyDescent="0.2">
      <c r="A233" s="5">
        <v>231</v>
      </c>
      <c r="B233" s="1">
        <v>43153</v>
      </c>
      <c r="C233" t="s">
        <v>29</v>
      </c>
      <c r="D233" t="s">
        <v>68</v>
      </c>
      <c r="E233">
        <v>4.6517096112555398</v>
      </c>
    </row>
    <row r="234" spans="1:5" x14ac:dyDescent="0.2">
      <c r="A234" s="5">
        <v>232</v>
      </c>
      <c r="B234" s="1">
        <v>43153</v>
      </c>
      <c r="C234" t="s">
        <v>29</v>
      </c>
      <c r="D234" t="s">
        <v>177</v>
      </c>
      <c r="E234">
        <v>7.3985074026107793E-4</v>
      </c>
    </row>
    <row r="235" spans="1:5" x14ac:dyDescent="0.2">
      <c r="A235" s="5">
        <v>233</v>
      </c>
      <c r="B235" s="1">
        <v>43153</v>
      </c>
      <c r="C235" t="s">
        <v>29</v>
      </c>
      <c r="D235" t="s">
        <v>178</v>
      </c>
    </row>
    <row r="236" spans="1:5" x14ac:dyDescent="0.2">
      <c r="A236" s="5">
        <v>234</v>
      </c>
      <c r="B236" s="1">
        <v>43153</v>
      </c>
      <c r="C236" t="s">
        <v>29</v>
      </c>
      <c r="D236" t="s">
        <v>179</v>
      </c>
    </row>
    <row r="237" spans="1:5" x14ac:dyDescent="0.2">
      <c r="A237" s="5">
        <v>235</v>
      </c>
      <c r="B237" s="1">
        <v>43153</v>
      </c>
      <c r="C237" t="s">
        <v>29</v>
      </c>
      <c r="D237" t="s">
        <v>180</v>
      </c>
    </row>
    <row r="238" spans="1:5" x14ac:dyDescent="0.2">
      <c r="A238" s="5">
        <v>236</v>
      </c>
      <c r="B238" s="1">
        <v>43153</v>
      </c>
      <c r="C238" t="s">
        <v>29</v>
      </c>
      <c r="D238" t="s">
        <v>181</v>
      </c>
    </row>
    <row r="239" spans="1:5" x14ac:dyDescent="0.2">
      <c r="A239" s="5">
        <v>237</v>
      </c>
      <c r="B239" s="1">
        <v>43153</v>
      </c>
      <c r="C239" t="s">
        <v>29</v>
      </c>
      <c r="D239" t="s">
        <v>182</v>
      </c>
      <c r="E239">
        <v>7.3005492868005847E-4</v>
      </c>
    </row>
    <row r="240" spans="1:5" x14ac:dyDescent="0.2">
      <c r="A240" s="5">
        <v>238</v>
      </c>
      <c r="B240" s="1">
        <v>43153</v>
      </c>
      <c r="C240" t="s">
        <v>49</v>
      </c>
      <c r="D240" t="s">
        <v>39</v>
      </c>
      <c r="E240">
        <v>1.4637234188932634E-4</v>
      </c>
    </row>
    <row r="241" spans="1:5" x14ac:dyDescent="0.2">
      <c r="A241" s="5">
        <v>239</v>
      </c>
      <c r="B241" s="1">
        <v>43153</v>
      </c>
      <c r="C241" t="s">
        <v>49</v>
      </c>
      <c r="D241" t="s">
        <v>32</v>
      </c>
      <c r="E241">
        <v>2.2693211503535394E-3</v>
      </c>
    </row>
    <row r="242" spans="1:5" x14ac:dyDescent="0.2">
      <c r="A242" s="5">
        <v>240</v>
      </c>
      <c r="B242" s="1">
        <v>43153</v>
      </c>
      <c r="C242" t="s">
        <v>49</v>
      </c>
      <c r="D242" t="s">
        <v>30</v>
      </c>
      <c r="E242">
        <v>2.8788964452329969E-4</v>
      </c>
    </row>
    <row r="243" spans="1:5" x14ac:dyDescent="0.2">
      <c r="A243" s="5">
        <v>241</v>
      </c>
      <c r="B243" s="1">
        <v>43153</v>
      </c>
      <c r="C243" t="s">
        <v>49</v>
      </c>
      <c r="D243" t="s">
        <v>47</v>
      </c>
    </row>
    <row r="244" spans="1:5" x14ac:dyDescent="0.2">
      <c r="A244" s="5">
        <v>242</v>
      </c>
      <c r="B244" s="1">
        <v>43153</v>
      </c>
      <c r="C244" t="s">
        <v>49</v>
      </c>
      <c r="D244" t="s">
        <v>141</v>
      </c>
    </row>
    <row r="245" spans="1:5" x14ac:dyDescent="0.2">
      <c r="A245" s="5">
        <v>243</v>
      </c>
      <c r="B245" s="1">
        <v>43153</v>
      </c>
      <c r="C245" t="s">
        <v>49</v>
      </c>
      <c r="D245" t="s">
        <v>205</v>
      </c>
    </row>
    <row r="246" spans="1:5" x14ac:dyDescent="0.2">
      <c r="A246" s="5">
        <v>244</v>
      </c>
      <c r="B246" s="1">
        <v>43153</v>
      </c>
      <c r="C246" t="s">
        <v>49</v>
      </c>
      <c r="D246" t="s">
        <v>164</v>
      </c>
    </row>
    <row r="247" spans="1:5" x14ac:dyDescent="0.2">
      <c r="A247" s="5">
        <v>245</v>
      </c>
      <c r="B247" s="1">
        <v>43153</v>
      </c>
      <c r="C247" t="s">
        <v>49</v>
      </c>
      <c r="D247" t="s">
        <v>68</v>
      </c>
      <c r="E247">
        <v>6.1206812269886894</v>
      </c>
    </row>
    <row r="248" spans="1:5" x14ac:dyDescent="0.2">
      <c r="A248" s="5">
        <v>246</v>
      </c>
      <c r="B248" s="1">
        <v>43153</v>
      </c>
      <c r="C248" t="s">
        <v>49</v>
      </c>
      <c r="D248" t="s">
        <v>177</v>
      </c>
      <c r="E248">
        <v>9.4456245690519372E-4</v>
      </c>
    </row>
    <row r="249" spans="1:5" x14ac:dyDescent="0.2">
      <c r="A249" s="5">
        <v>247</v>
      </c>
      <c r="B249" s="1">
        <v>43153</v>
      </c>
      <c r="C249" t="s">
        <v>49</v>
      </c>
      <c r="D249" t="s">
        <v>178</v>
      </c>
    </row>
    <row r="250" spans="1:5" x14ac:dyDescent="0.2">
      <c r="A250" s="5">
        <v>248</v>
      </c>
      <c r="B250" s="1">
        <v>43153</v>
      </c>
      <c r="C250" t="s">
        <v>49</v>
      </c>
      <c r="D250" t="s">
        <v>179</v>
      </c>
    </row>
    <row r="251" spans="1:5" x14ac:dyDescent="0.2">
      <c r="A251" s="5">
        <v>249</v>
      </c>
      <c r="B251" s="1">
        <v>43153</v>
      </c>
      <c r="C251" t="s">
        <v>49</v>
      </c>
      <c r="D251" t="s">
        <v>180</v>
      </c>
    </row>
    <row r="252" spans="1:5" x14ac:dyDescent="0.2">
      <c r="A252" s="5">
        <v>250</v>
      </c>
      <c r="B252" s="1">
        <v>43153</v>
      </c>
      <c r="C252" t="s">
        <v>49</v>
      </c>
      <c r="D252" t="s">
        <v>181</v>
      </c>
    </row>
    <row r="253" spans="1:5" x14ac:dyDescent="0.2">
      <c r="A253" s="5">
        <v>251</v>
      </c>
      <c r="B253" s="1">
        <v>43153</v>
      </c>
      <c r="C253" t="s">
        <v>49</v>
      </c>
      <c r="D253" t="s">
        <v>182</v>
      </c>
      <c r="E253">
        <v>1.7590206798609709E-3</v>
      </c>
    </row>
    <row r="254" spans="1:5" x14ac:dyDescent="0.2">
      <c r="A254" s="5">
        <v>252</v>
      </c>
      <c r="B254" s="1">
        <v>43152</v>
      </c>
      <c r="C254" t="s">
        <v>29</v>
      </c>
      <c r="D254" t="s">
        <v>39</v>
      </c>
      <c r="E254">
        <v>1.9283668888382425E-5</v>
      </c>
    </row>
    <row r="255" spans="1:5" x14ac:dyDescent="0.2">
      <c r="A255" s="5">
        <v>253</v>
      </c>
      <c r="B255" s="1">
        <v>43152</v>
      </c>
      <c r="C255" t="s">
        <v>29</v>
      </c>
      <c r="D255" t="s">
        <v>32</v>
      </c>
      <c r="E255">
        <v>1.1218600886997426E-3</v>
      </c>
    </row>
    <row r="256" spans="1:5" x14ac:dyDescent="0.2">
      <c r="A256" s="5">
        <v>254</v>
      </c>
      <c r="B256" s="1">
        <v>43152</v>
      </c>
      <c r="C256" t="s">
        <v>29</v>
      </c>
      <c r="D256" t="s">
        <v>30</v>
      </c>
      <c r="E256">
        <v>3.2358624196237944E-4</v>
      </c>
    </row>
    <row r="257" spans="1:5" x14ac:dyDescent="0.2">
      <c r="A257" s="5">
        <v>255</v>
      </c>
      <c r="B257" s="1">
        <v>43152</v>
      </c>
      <c r="C257" t="s">
        <v>29</v>
      </c>
      <c r="D257" t="s">
        <v>47</v>
      </c>
    </row>
    <row r="258" spans="1:5" x14ac:dyDescent="0.2">
      <c r="A258" s="5">
        <v>256</v>
      </c>
      <c r="B258" s="1">
        <v>43152</v>
      </c>
      <c r="C258" t="s">
        <v>29</v>
      </c>
      <c r="D258" t="s">
        <v>141</v>
      </c>
    </row>
    <row r="259" spans="1:5" x14ac:dyDescent="0.2">
      <c r="A259" s="5">
        <v>257</v>
      </c>
      <c r="B259" s="1">
        <v>43152</v>
      </c>
      <c r="C259" t="s">
        <v>29</v>
      </c>
      <c r="D259" t="s">
        <v>205</v>
      </c>
    </row>
    <row r="260" spans="1:5" x14ac:dyDescent="0.2">
      <c r="A260" s="5">
        <v>258</v>
      </c>
      <c r="B260" s="1">
        <v>43152</v>
      </c>
      <c r="C260" t="s">
        <v>29</v>
      </c>
      <c r="D260" t="s">
        <v>164</v>
      </c>
    </row>
    <row r="261" spans="1:5" x14ac:dyDescent="0.2">
      <c r="A261" s="5">
        <v>259</v>
      </c>
      <c r="B261" s="1">
        <v>43152</v>
      </c>
      <c r="C261" t="s">
        <v>29</v>
      </c>
      <c r="D261" t="s">
        <v>68</v>
      </c>
      <c r="E261">
        <v>4.6535022448898946</v>
      </c>
    </row>
    <row r="262" spans="1:5" x14ac:dyDescent="0.2">
      <c r="A262" s="5">
        <v>260</v>
      </c>
      <c r="B262" s="1">
        <v>43152</v>
      </c>
      <c r="C262" t="s">
        <v>29</v>
      </c>
      <c r="D262" t="s">
        <v>177</v>
      </c>
      <c r="E262">
        <v>5.5805757197230723E-4</v>
      </c>
    </row>
    <row r="263" spans="1:5" x14ac:dyDescent="0.2">
      <c r="A263" s="5">
        <v>261</v>
      </c>
      <c r="B263" s="1">
        <v>43152</v>
      </c>
      <c r="C263" t="s">
        <v>29</v>
      </c>
      <c r="D263" t="s">
        <v>178</v>
      </c>
    </row>
    <row r="264" spans="1:5" x14ac:dyDescent="0.2">
      <c r="A264" s="5">
        <v>262</v>
      </c>
      <c r="B264" s="1">
        <v>43152</v>
      </c>
      <c r="C264" t="s">
        <v>29</v>
      </c>
      <c r="D264" t="s">
        <v>179</v>
      </c>
    </row>
    <row r="265" spans="1:5" x14ac:dyDescent="0.2">
      <c r="A265" s="5">
        <v>263</v>
      </c>
      <c r="B265" s="1">
        <v>43152</v>
      </c>
      <c r="C265" t="s">
        <v>29</v>
      </c>
      <c r="D265" t="s">
        <v>180</v>
      </c>
    </row>
    <row r="266" spans="1:5" x14ac:dyDescent="0.2">
      <c r="A266" s="5">
        <v>264</v>
      </c>
      <c r="B266" s="1">
        <v>43152</v>
      </c>
      <c r="C266" t="s">
        <v>29</v>
      </c>
      <c r="D266" t="s">
        <v>181</v>
      </c>
    </row>
    <row r="267" spans="1:5" x14ac:dyDescent="0.2">
      <c r="A267" s="5">
        <v>265</v>
      </c>
      <c r="B267" s="1">
        <v>43152</v>
      </c>
      <c r="C267" t="s">
        <v>29</v>
      </c>
      <c r="D267" t="s">
        <v>182</v>
      </c>
      <c r="E267">
        <v>9.0667242757819645E-4</v>
      </c>
    </row>
    <row r="268" spans="1:5" x14ac:dyDescent="0.2">
      <c r="A268" s="5">
        <v>266</v>
      </c>
      <c r="B268" s="1">
        <v>43152</v>
      </c>
      <c r="C268" t="s">
        <v>49</v>
      </c>
      <c r="D268" t="s">
        <v>39</v>
      </c>
      <c r="E268">
        <v>1.4813083336754046E-4</v>
      </c>
    </row>
    <row r="269" spans="1:5" x14ac:dyDescent="0.2">
      <c r="A269" s="5">
        <v>267</v>
      </c>
      <c r="B269" s="1">
        <v>43152</v>
      </c>
      <c r="C269" t="s">
        <v>49</v>
      </c>
      <c r="D269" t="s">
        <v>32</v>
      </c>
      <c r="E269">
        <v>2.2296159172682127E-3</v>
      </c>
    </row>
    <row r="270" spans="1:5" x14ac:dyDescent="0.2">
      <c r="A270" s="5">
        <v>268</v>
      </c>
      <c r="B270" s="1">
        <v>43152</v>
      </c>
      <c r="C270" t="s">
        <v>49</v>
      </c>
      <c r="D270" t="s">
        <v>30</v>
      </c>
      <c r="E270">
        <v>3.3376862278063421E-4</v>
      </c>
    </row>
    <row r="271" spans="1:5" x14ac:dyDescent="0.2">
      <c r="A271" s="5">
        <v>269</v>
      </c>
      <c r="B271" s="1">
        <v>43152</v>
      </c>
      <c r="C271" t="s">
        <v>49</v>
      </c>
      <c r="D271" t="s">
        <v>47</v>
      </c>
    </row>
    <row r="272" spans="1:5" x14ac:dyDescent="0.2">
      <c r="A272" s="5">
        <v>270</v>
      </c>
      <c r="B272" s="1">
        <v>43152</v>
      </c>
      <c r="C272" t="s">
        <v>49</v>
      </c>
      <c r="D272" t="s">
        <v>141</v>
      </c>
    </row>
    <row r="273" spans="1:5" x14ac:dyDescent="0.2">
      <c r="A273" s="5">
        <v>271</v>
      </c>
      <c r="B273" s="1">
        <v>43152</v>
      </c>
      <c r="C273" t="s">
        <v>49</v>
      </c>
      <c r="D273" t="s">
        <v>205</v>
      </c>
    </row>
    <row r="274" spans="1:5" x14ac:dyDescent="0.2">
      <c r="A274" s="5">
        <v>272</v>
      </c>
      <c r="B274" s="1">
        <v>43152</v>
      </c>
      <c r="C274" t="s">
        <v>49</v>
      </c>
      <c r="D274" t="s">
        <v>164</v>
      </c>
    </row>
    <row r="275" spans="1:5" x14ac:dyDescent="0.2">
      <c r="A275" s="5">
        <v>273</v>
      </c>
      <c r="B275" s="1">
        <v>43152</v>
      </c>
      <c r="C275" t="s">
        <v>49</v>
      </c>
      <c r="D275" t="s">
        <v>68</v>
      </c>
      <c r="E275">
        <v>6.1226877953984848</v>
      </c>
    </row>
    <row r="276" spans="1:5" x14ac:dyDescent="0.2">
      <c r="A276" s="5">
        <v>274</v>
      </c>
      <c r="B276" s="1">
        <v>43152</v>
      </c>
      <c r="C276" t="s">
        <v>49</v>
      </c>
      <c r="D276" t="s">
        <v>177</v>
      </c>
      <c r="E276">
        <v>1.0844936268768464E-3</v>
      </c>
    </row>
    <row r="277" spans="1:5" x14ac:dyDescent="0.2">
      <c r="A277" s="5">
        <v>275</v>
      </c>
      <c r="B277" s="1">
        <v>43152</v>
      </c>
      <c r="C277" t="s">
        <v>49</v>
      </c>
      <c r="D277" t="s">
        <v>178</v>
      </c>
    </row>
    <row r="278" spans="1:5" x14ac:dyDescent="0.2">
      <c r="A278" s="5">
        <v>276</v>
      </c>
      <c r="B278" s="1">
        <v>43152</v>
      </c>
      <c r="C278" t="s">
        <v>49</v>
      </c>
      <c r="D278" t="s">
        <v>179</v>
      </c>
    </row>
    <row r="279" spans="1:5" x14ac:dyDescent="0.2">
      <c r="A279" s="5">
        <v>277</v>
      </c>
      <c r="B279" s="1">
        <v>43152</v>
      </c>
      <c r="C279" t="s">
        <v>49</v>
      </c>
      <c r="D279" t="s">
        <v>180</v>
      </c>
    </row>
    <row r="280" spans="1:5" x14ac:dyDescent="0.2">
      <c r="A280" s="5">
        <v>278</v>
      </c>
      <c r="B280" s="1">
        <v>43152</v>
      </c>
      <c r="C280" t="s">
        <v>49</v>
      </c>
      <c r="D280" t="s">
        <v>181</v>
      </c>
    </row>
    <row r="281" spans="1:5" x14ac:dyDescent="0.2">
      <c r="A281" s="5">
        <v>279</v>
      </c>
      <c r="B281" s="1">
        <v>43152</v>
      </c>
      <c r="C281" t="s">
        <v>49</v>
      </c>
      <c r="D281" t="s">
        <v>182</v>
      </c>
      <c r="E281">
        <v>1.6270217465395422E-3</v>
      </c>
    </row>
    <row r="282" spans="1:5" x14ac:dyDescent="0.2">
      <c r="A282" s="5">
        <v>280</v>
      </c>
      <c r="B282" s="1">
        <v>43151</v>
      </c>
      <c r="C282" t="s">
        <v>29</v>
      </c>
      <c r="D282" t="s">
        <v>39</v>
      </c>
      <c r="E282">
        <v>1.8187250510317399E-5</v>
      </c>
    </row>
    <row r="283" spans="1:5" x14ac:dyDescent="0.2">
      <c r="A283" s="5">
        <v>281</v>
      </c>
      <c r="B283" s="1">
        <v>43151</v>
      </c>
      <c r="C283" t="s">
        <v>29</v>
      </c>
      <c r="D283" t="s">
        <v>32</v>
      </c>
      <c r="E283">
        <v>1.1590931432148201E-3</v>
      </c>
    </row>
    <row r="284" spans="1:5" x14ac:dyDescent="0.2">
      <c r="A284" s="5">
        <v>282</v>
      </c>
      <c r="B284" s="1">
        <v>43151</v>
      </c>
      <c r="C284" t="s">
        <v>29</v>
      </c>
      <c r="D284" t="s">
        <v>30</v>
      </c>
      <c r="E284">
        <v>3.3029978023017961E-4</v>
      </c>
    </row>
    <row r="285" spans="1:5" x14ac:dyDescent="0.2">
      <c r="A285" s="5">
        <v>283</v>
      </c>
      <c r="B285" s="1">
        <v>43151</v>
      </c>
      <c r="C285" t="s">
        <v>29</v>
      </c>
      <c r="D285" t="s">
        <v>47</v>
      </c>
    </row>
    <row r="286" spans="1:5" x14ac:dyDescent="0.2">
      <c r="A286" s="5">
        <v>284</v>
      </c>
      <c r="B286" s="1">
        <v>43151</v>
      </c>
      <c r="C286" t="s">
        <v>29</v>
      </c>
      <c r="D286" t="s">
        <v>141</v>
      </c>
    </row>
    <row r="287" spans="1:5" x14ac:dyDescent="0.2">
      <c r="A287" s="5">
        <v>285</v>
      </c>
      <c r="B287" s="1">
        <v>43151</v>
      </c>
      <c r="C287" t="s">
        <v>29</v>
      </c>
      <c r="D287" t="s">
        <v>205</v>
      </c>
    </row>
    <row r="288" spans="1:5" x14ac:dyDescent="0.2">
      <c r="A288" s="5">
        <v>286</v>
      </c>
      <c r="B288" s="1">
        <v>43151</v>
      </c>
      <c r="C288" t="s">
        <v>29</v>
      </c>
      <c r="D288" t="s">
        <v>164</v>
      </c>
    </row>
    <row r="289" spans="1:5" x14ac:dyDescent="0.2">
      <c r="A289" s="5">
        <v>287</v>
      </c>
      <c r="B289" s="1">
        <v>43151</v>
      </c>
      <c r="C289" t="s">
        <v>29</v>
      </c>
      <c r="D289" t="s">
        <v>68</v>
      </c>
      <c r="E289">
        <v>4.6558465986386919</v>
      </c>
    </row>
    <row r="290" spans="1:5" x14ac:dyDescent="0.2">
      <c r="A290" s="5">
        <v>288</v>
      </c>
      <c r="B290" s="1">
        <v>43151</v>
      </c>
      <c r="C290" t="s">
        <v>29</v>
      </c>
      <c r="D290" t="s">
        <v>177</v>
      </c>
      <c r="E290">
        <v>4.7189259015681628E-4</v>
      </c>
    </row>
    <row r="291" spans="1:5" x14ac:dyDescent="0.2">
      <c r="A291" s="5">
        <v>289</v>
      </c>
      <c r="B291" s="1">
        <v>43151</v>
      </c>
      <c r="C291" t="s">
        <v>29</v>
      </c>
      <c r="D291" t="s">
        <v>178</v>
      </c>
    </row>
    <row r="292" spans="1:5" x14ac:dyDescent="0.2">
      <c r="A292" s="5">
        <v>290</v>
      </c>
      <c r="B292" s="1">
        <v>43151</v>
      </c>
      <c r="C292" t="s">
        <v>29</v>
      </c>
      <c r="D292" t="s">
        <v>179</v>
      </c>
    </row>
    <row r="293" spans="1:5" x14ac:dyDescent="0.2">
      <c r="A293" s="5">
        <v>291</v>
      </c>
      <c r="B293" s="1">
        <v>43151</v>
      </c>
      <c r="C293" t="s">
        <v>29</v>
      </c>
      <c r="D293" t="s">
        <v>180</v>
      </c>
    </row>
    <row r="294" spans="1:5" x14ac:dyDescent="0.2">
      <c r="A294" s="5">
        <v>292</v>
      </c>
      <c r="B294" s="1">
        <v>43151</v>
      </c>
      <c r="C294" t="s">
        <v>29</v>
      </c>
      <c r="D294" t="s">
        <v>181</v>
      </c>
    </row>
    <row r="295" spans="1:5" x14ac:dyDescent="0.2">
      <c r="A295" s="5">
        <v>293</v>
      </c>
      <c r="B295" s="1">
        <v>43151</v>
      </c>
      <c r="C295" t="s">
        <v>29</v>
      </c>
      <c r="D295" t="s">
        <v>182</v>
      </c>
      <c r="E295">
        <v>1.0356875837985013E-3</v>
      </c>
    </row>
    <row r="296" spans="1:5" x14ac:dyDescent="0.2">
      <c r="A296" s="5">
        <v>294</v>
      </c>
      <c r="B296" s="1">
        <v>43151</v>
      </c>
      <c r="C296" t="s">
        <v>49</v>
      </c>
      <c r="D296" t="s">
        <v>39</v>
      </c>
      <c r="E296">
        <v>1.4922825173286646E-4</v>
      </c>
    </row>
    <row r="297" spans="1:5" x14ac:dyDescent="0.2">
      <c r="A297" s="5">
        <v>295</v>
      </c>
      <c r="B297" s="1">
        <v>43151</v>
      </c>
      <c r="C297" t="s">
        <v>49</v>
      </c>
      <c r="D297" t="s">
        <v>32</v>
      </c>
      <c r="E297">
        <v>2.2969359589717626E-3</v>
      </c>
    </row>
    <row r="298" spans="1:5" x14ac:dyDescent="0.2">
      <c r="A298" s="5">
        <v>296</v>
      </c>
      <c r="B298" s="1">
        <v>43151</v>
      </c>
      <c r="C298" t="s">
        <v>49</v>
      </c>
      <c r="D298" t="s">
        <v>30</v>
      </c>
      <c r="E298">
        <v>3.5248516914822053E-4</v>
      </c>
    </row>
    <row r="299" spans="1:5" x14ac:dyDescent="0.2">
      <c r="A299" s="5">
        <v>297</v>
      </c>
      <c r="B299" s="1">
        <v>43151</v>
      </c>
      <c r="C299" t="s">
        <v>49</v>
      </c>
      <c r="D299" t="s">
        <v>47</v>
      </c>
    </row>
    <row r="300" spans="1:5" x14ac:dyDescent="0.2">
      <c r="A300" s="5">
        <v>298</v>
      </c>
      <c r="B300" s="1">
        <v>43151</v>
      </c>
      <c r="C300" t="s">
        <v>49</v>
      </c>
      <c r="D300" t="s">
        <v>141</v>
      </c>
    </row>
    <row r="301" spans="1:5" x14ac:dyDescent="0.2">
      <c r="A301" s="5">
        <v>299</v>
      </c>
      <c r="B301" s="1">
        <v>43151</v>
      </c>
      <c r="C301" t="s">
        <v>49</v>
      </c>
      <c r="D301" t="s">
        <v>205</v>
      </c>
    </row>
    <row r="302" spans="1:5" x14ac:dyDescent="0.2">
      <c r="A302" s="5">
        <v>300</v>
      </c>
      <c r="B302" s="1">
        <v>43151</v>
      </c>
      <c r="C302" t="s">
        <v>49</v>
      </c>
      <c r="D302" t="s">
        <v>164</v>
      </c>
    </row>
    <row r="303" spans="1:5" x14ac:dyDescent="0.2">
      <c r="A303" s="5">
        <v>301</v>
      </c>
      <c r="B303" s="1">
        <v>43151</v>
      </c>
      <c r="C303" t="s">
        <v>49</v>
      </c>
      <c r="D303" t="s">
        <v>68</v>
      </c>
      <c r="E303">
        <v>6.1224102062357977</v>
      </c>
    </row>
    <row r="304" spans="1:5" x14ac:dyDescent="0.2">
      <c r="A304" s="5">
        <v>302</v>
      </c>
      <c r="B304" s="1">
        <v>43151</v>
      </c>
      <c r="C304" t="s">
        <v>49</v>
      </c>
      <c r="D304" t="s">
        <v>177</v>
      </c>
      <c r="E304">
        <v>1.1494978474838036E-3</v>
      </c>
    </row>
    <row r="305" spans="1:5" x14ac:dyDescent="0.2">
      <c r="A305" s="5">
        <v>303</v>
      </c>
      <c r="B305" s="1">
        <v>43151</v>
      </c>
      <c r="C305" t="s">
        <v>49</v>
      </c>
      <c r="D305" t="s">
        <v>178</v>
      </c>
    </row>
    <row r="306" spans="1:5" x14ac:dyDescent="0.2">
      <c r="A306" s="5">
        <v>304</v>
      </c>
      <c r="B306" s="1">
        <v>43151</v>
      </c>
      <c r="C306" t="s">
        <v>49</v>
      </c>
      <c r="D306" t="s">
        <v>179</v>
      </c>
    </row>
    <row r="307" spans="1:5" x14ac:dyDescent="0.2">
      <c r="A307" s="5">
        <v>305</v>
      </c>
      <c r="B307" s="1">
        <v>43151</v>
      </c>
      <c r="C307" t="s">
        <v>49</v>
      </c>
      <c r="D307" t="s">
        <v>180</v>
      </c>
    </row>
    <row r="308" spans="1:5" x14ac:dyDescent="0.2">
      <c r="A308" s="5">
        <v>306</v>
      </c>
      <c r="B308" s="1">
        <v>43151</v>
      </c>
      <c r="C308" t="s">
        <v>49</v>
      </c>
      <c r="D308" t="s">
        <v>181</v>
      </c>
    </row>
    <row r="309" spans="1:5" x14ac:dyDescent="0.2">
      <c r="A309" s="5">
        <v>307</v>
      </c>
      <c r="B309" s="1">
        <v>43151</v>
      </c>
      <c r="C309" t="s">
        <v>49</v>
      </c>
      <c r="D309" t="s">
        <v>182</v>
      </c>
      <c r="E309">
        <v>1.6491515323690464E-3</v>
      </c>
    </row>
    <row r="310" spans="1:5" x14ac:dyDescent="0.2">
      <c r="A310" s="5">
        <v>308</v>
      </c>
      <c r="B310" s="1">
        <v>43150</v>
      </c>
      <c r="C310" t="s">
        <v>29</v>
      </c>
      <c r="D310" t="s">
        <v>39</v>
      </c>
      <c r="E310">
        <v>1.31591447280286E-5</v>
      </c>
    </row>
    <row r="311" spans="1:5" x14ac:dyDescent="0.2">
      <c r="A311" s="5">
        <v>309</v>
      </c>
      <c r="B311" s="1">
        <v>43150</v>
      </c>
      <c r="C311" t="s">
        <v>29</v>
      </c>
      <c r="D311" t="s">
        <v>32</v>
      </c>
      <c r="E311">
        <v>1.2005908781865836E-3</v>
      </c>
    </row>
    <row r="312" spans="1:5" x14ac:dyDescent="0.2">
      <c r="A312" s="5">
        <v>310</v>
      </c>
      <c r="B312" s="1">
        <v>43150</v>
      </c>
      <c r="C312" t="s">
        <v>29</v>
      </c>
      <c r="D312" t="s">
        <v>30</v>
      </c>
      <c r="E312">
        <v>3.4332960868301178E-4</v>
      </c>
    </row>
    <row r="313" spans="1:5" x14ac:dyDescent="0.2">
      <c r="A313" s="5">
        <v>311</v>
      </c>
      <c r="B313" s="1">
        <v>43150</v>
      </c>
      <c r="C313" t="s">
        <v>29</v>
      </c>
      <c r="D313" t="s">
        <v>47</v>
      </c>
    </row>
    <row r="314" spans="1:5" x14ac:dyDescent="0.2">
      <c r="A314" s="5">
        <v>312</v>
      </c>
      <c r="B314" s="1">
        <v>43150</v>
      </c>
      <c r="C314" t="s">
        <v>29</v>
      </c>
      <c r="D314" t="s">
        <v>141</v>
      </c>
    </row>
    <row r="315" spans="1:5" x14ac:dyDescent="0.2">
      <c r="A315" s="5">
        <v>313</v>
      </c>
      <c r="B315" s="1">
        <v>43150</v>
      </c>
      <c r="C315" t="s">
        <v>29</v>
      </c>
      <c r="D315" t="s">
        <v>205</v>
      </c>
    </row>
    <row r="316" spans="1:5" x14ac:dyDescent="0.2">
      <c r="A316" s="5">
        <v>314</v>
      </c>
      <c r="B316" s="1">
        <v>43150</v>
      </c>
      <c r="C316" t="s">
        <v>29</v>
      </c>
      <c r="D316" t="s">
        <v>164</v>
      </c>
    </row>
    <row r="317" spans="1:5" x14ac:dyDescent="0.2">
      <c r="A317" s="5">
        <v>315</v>
      </c>
      <c r="B317" s="1">
        <v>43150</v>
      </c>
      <c r="C317" t="s">
        <v>29</v>
      </c>
      <c r="D317" t="s">
        <v>68</v>
      </c>
      <c r="E317">
        <v>4.6576695353062778</v>
      </c>
    </row>
    <row r="318" spans="1:5" x14ac:dyDescent="0.2">
      <c r="A318" s="5">
        <v>316</v>
      </c>
      <c r="B318" s="1">
        <v>43150</v>
      </c>
      <c r="C318" t="s">
        <v>29</v>
      </c>
      <c r="D318" t="s">
        <v>177</v>
      </c>
      <c r="E318">
        <v>4.0452588177981099E-4</v>
      </c>
    </row>
    <row r="319" spans="1:5" x14ac:dyDescent="0.2">
      <c r="A319" s="5">
        <v>317</v>
      </c>
      <c r="B319" s="1">
        <v>43150</v>
      </c>
      <c r="C319" t="s">
        <v>29</v>
      </c>
      <c r="D319" t="s">
        <v>178</v>
      </c>
    </row>
    <row r="320" spans="1:5" x14ac:dyDescent="0.2">
      <c r="A320" s="5">
        <v>318</v>
      </c>
      <c r="B320" s="1">
        <v>43150</v>
      </c>
      <c r="C320" t="s">
        <v>29</v>
      </c>
      <c r="D320" t="s">
        <v>179</v>
      </c>
    </row>
    <row r="321" spans="1:5" x14ac:dyDescent="0.2">
      <c r="A321" s="5">
        <v>319</v>
      </c>
      <c r="B321" s="1">
        <v>43150</v>
      </c>
      <c r="C321" t="s">
        <v>29</v>
      </c>
      <c r="D321" t="s">
        <v>180</v>
      </c>
    </row>
    <row r="322" spans="1:5" x14ac:dyDescent="0.2">
      <c r="A322" s="5">
        <v>320</v>
      </c>
      <c r="B322" s="1">
        <v>43150</v>
      </c>
      <c r="C322" t="s">
        <v>29</v>
      </c>
      <c r="D322" t="s">
        <v>181</v>
      </c>
    </row>
    <row r="323" spans="1:5" x14ac:dyDescent="0.2">
      <c r="A323" s="5">
        <v>321</v>
      </c>
      <c r="B323" s="1">
        <v>43150</v>
      </c>
      <c r="C323" t="s">
        <v>29</v>
      </c>
      <c r="D323" t="s">
        <v>182</v>
      </c>
      <c r="E323">
        <v>1.1525537498178139E-3</v>
      </c>
    </row>
    <row r="324" spans="1:5" x14ac:dyDescent="0.2">
      <c r="A324" s="5">
        <v>322</v>
      </c>
      <c r="B324" s="1">
        <v>43150</v>
      </c>
      <c r="C324" t="s">
        <v>49</v>
      </c>
      <c r="D324" t="s">
        <v>39</v>
      </c>
      <c r="E324">
        <v>1.6640170711436602E-4</v>
      </c>
    </row>
    <row r="325" spans="1:5" x14ac:dyDescent="0.2">
      <c r="A325" s="5">
        <v>323</v>
      </c>
      <c r="B325" s="1">
        <v>43150</v>
      </c>
      <c r="C325" t="s">
        <v>49</v>
      </c>
      <c r="D325" t="s">
        <v>32</v>
      </c>
      <c r="E325">
        <v>1.9640871485450419E-3</v>
      </c>
    </row>
    <row r="326" spans="1:5" x14ac:dyDescent="0.2">
      <c r="A326" s="5">
        <v>324</v>
      </c>
      <c r="B326" s="1">
        <v>43150</v>
      </c>
      <c r="C326" t="s">
        <v>49</v>
      </c>
      <c r="D326" t="s">
        <v>30</v>
      </c>
      <c r="E326">
        <v>4.4650300389859315E-4</v>
      </c>
    </row>
    <row r="327" spans="1:5" x14ac:dyDescent="0.2">
      <c r="A327" s="5">
        <v>325</v>
      </c>
      <c r="B327" s="1">
        <v>43150</v>
      </c>
      <c r="C327" t="s">
        <v>49</v>
      </c>
      <c r="D327" t="s">
        <v>47</v>
      </c>
    </row>
    <row r="328" spans="1:5" x14ac:dyDescent="0.2">
      <c r="A328" s="5">
        <v>326</v>
      </c>
      <c r="B328" s="1">
        <v>43150</v>
      </c>
      <c r="C328" t="s">
        <v>49</v>
      </c>
      <c r="D328" t="s">
        <v>141</v>
      </c>
    </row>
    <row r="329" spans="1:5" x14ac:dyDescent="0.2">
      <c r="A329" s="5">
        <v>327</v>
      </c>
      <c r="B329" s="1">
        <v>43150</v>
      </c>
      <c r="C329" t="s">
        <v>49</v>
      </c>
      <c r="D329" t="s">
        <v>205</v>
      </c>
    </row>
    <row r="330" spans="1:5" x14ac:dyDescent="0.2">
      <c r="A330" s="5">
        <v>328</v>
      </c>
      <c r="B330" s="1">
        <v>43150</v>
      </c>
      <c r="C330" t="s">
        <v>49</v>
      </c>
      <c r="D330" t="s">
        <v>164</v>
      </c>
    </row>
    <row r="331" spans="1:5" x14ac:dyDescent="0.2">
      <c r="A331" s="5">
        <v>329</v>
      </c>
      <c r="B331" s="1">
        <v>43150</v>
      </c>
      <c r="C331" t="s">
        <v>49</v>
      </c>
      <c r="D331" t="s">
        <v>68</v>
      </c>
      <c r="E331">
        <v>6.121389279921325</v>
      </c>
    </row>
    <row r="332" spans="1:5" x14ac:dyDescent="0.2">
      <c r="A332" s="5">
        <v>330</v>
      </c>
      <c r="B332" s="1">
        <v>43150</v>
      </c>
      <c r="C332" t="s">
        <v>49</v>
      </c>
      <c r="D332" t="s">
        <v>177</v>
      </c>
      <c r="E332">
        <v>1.2429235386564926E-3</v>
      </c>
    </row>
    <row r="333" spans="1:5" x14ac:dyDescent="0.2">
      <c r="A333" s="5">
        <v>331</v>
      </c>
      <c r="B333" s="1">
        <v>43150</v>
      </c>
      <c r="C333" t="s">
        <v>49</v>
      </c>
      <c r="D333" t="s">
        <v>178</v>
      </c>
    </row>
    <row r="334" spans="1:5" x14ac:dyDescent="0.2">
      <c r="A334" s="5">
        <v>332</v>
      </c>
      <c r="B334" s="1">
        <v>43150</v>
      </c>
      <c r="C334" t="s">
        <v>49</v>
      </c>
      <c r="D334" t="s">
        <v>179</v>
      </c>
    </row>
    <row r="335" spans="1:5" x14ac:dyDescent="0.2">
      <c r="A335" s="5">
        <v>333</v>
      </c>
      <c r="B335" s="1">
        <v>43150</v>
      </c>
      <c r="C335" t="s">
        <v>49</v>
      </c>
      <c r="D335" t="s">
        <v>180</v>
      </c>
    </row>
    <row r="336" spans="1:5" x14ac:dyDescent="0.2">
      <c r="A336" s="5">
        <v>334</v>
      </c>
      <c r="B336" s="1">
        <v>43150</v>
      </c>
      <c r="C336" t="s">
        <v>49</v>
      </c>
      <c r="D336" t="s">
        <v>181</v>
      </c>
    </row>
    <row r="337" spans="1:5" x14ac:dyDescent="0.2">
      <c r="A337" s="5">
        <v>335</v>
      </c>
      <c r="B337" s="1">
        <v>43150</v>
      </c>
      <c r="C337" t="s">
        <v>49</v>
      </c>
      <c r="D337" t="s">
        <v>182</v>
      </c>
      <c r="E337">
        <v>1.3340683209015086E-3</v>
      </c>
    </row>
    <row r="338" spans="1:5" x14ac:dyDescent="0.2">
      <c r="A338" s="5">
        <v>336</v>
      </c>
      <c r="B338" s="1">
        <v>43147</v>
      </c>
      <c r="C338" t="s">
        <v>29</v>
      </c>
      <c r="D338" t="s">
        <v>39</v>
      </c>
      <c r="E338">
        <v>-2.595125685313074E-5</v>
      </c>
    </row>
    <row r="339" spans="1:5" x14ac:dyDescent="0.2">
      <c r="A339" s="5">
        <v>337</v>
      </c>
      <c r="B339" s="1">
        <v>43147</v>
      </c>
      <c r="C339" t="s">
        <v>29</v>
      </c>
      <c r="D339" t="s">
        <v>32</v>
      </c>
      <c r="E339">
        <v>1.3532750267497718E-3</v>
      </c>
    </row>
    <row r="340" spans="1:5" x14ac:dyDescent="0.2">
      <c r="A340" s="5">
        <v>338</v>
      </c>
      <c r="B340" s="1">
        <v>43147</v>
      </c>
      <c r="C340" t="s">
        <v>29</v>
      </c>
      <c r="D340" t="s">
        <v>30</v>
      </c>
      <c r="E340">
        <v>3.2445320071607347E-4</v>
      </c>
    </row>
    <row r="341" spans="1:5" x14ac:dyDescent="0.2">
      <c r="A341" s="5">
        <v>339</v>
      </c>
      <c r="B341" s="1">
        <v>43147</v>
      </c>
      <c r="C341" t="s">
        <v>29</v>
      </c>
      <c r="D341" t="s">
        <v>47</v>
      </c>
    </row>
    <row r="342" spans="1:5" x14ac:dyDescent="0.2">
      <c r="A342" s="5">
        <v>340</v>
      </c>
      <c r="B342" s="1">
        <v>43147</v>
      </c>
      <c r="C342" t="s">
        <v>29</v>
      </c>
      <c r="D342" t="s">
        <v>141</v>
      </c>
    </row>
    <row r="343" spans="1:5" x14ac:dyDescent="0.2">
      <c r="A343" s="5">
        <v>341</v>
      </c>
      <c r="B343" s="1">
        <v>43147</v>
      </c>
      <c r="C343" t="s">
        <v>29</v>
      </c>
      <c r="D343" t="s">
        <v>205</v>
      </c>
    </row>
    <row r="344" spans="1:5" x14ac:dyDescent="0.2">
      <c r="A344" s="5">
        <v>342</v>
      </c>
      <c r="B344" s="1">
        <v>43147</v>
      </c>
      <c r="C344" t="s">
        <v>29</v>
      </c>
      <c r="D344" t="s">
        <v>164</v>
      </c>
    </row>
    <row r="345" spans="1:5" x14ac:dyDescent="0.2">
      <c r="A345" s="5">
        <v>343</v>
      </c>
      <c r="B345" s="1">
        <v>43147</v>
      </c>
      <c r="C345" t="s">
        <v>29</v>
      </c>
      <c r="D345" t="s">
        <v>68</v>
      </c>
      <c r="E345">
        <v>4.6075930550007032</v>
      </c>
    </row>
    <row r="346" spans="1:5" x14ac:dyDescent="0.2">
      <c r="A346" s="5">
        <v>344</v>
      </c>
      <c r="B346" s="1">
        <v>43147</v>
      </c>
      <c r="C346" t="s">
        <v>29</v>
      </c>
      <c r="D346" t="s">
        <v>177</v>
      </c>
      <c r="E346">
        <v>-2.7736798184667757E-4</v>
      </c>
    </row>
    <row r="347" spans="1:5" x14ac:dyDescent="0.2">
      <c r="A347" s="5">
        <v>345</v>
      </c>
      <c r="B347" s="1">
        <v>43147</v>
      </c>
      <c r="C347" t="s">
        <v>29</v>
      </c>
      <c r="D347" t="s">
        <v>178</v>
      </c>
    </row>
    <row r="348" spans="1:5" x14ac:dyDescent="0.2">
      <c r="A348" s="5">
        <v>346</v>
      </c>
      <c r="B348" s="1">
        <v>43147</v>
      </c>
      <c r="C348" t="s">
        <v>29</v>
      </c>
      <c r="D348" t="s">
        <v>179</v>
      </c>
    </row>
    <row r="349" spans="1:5" x14ac:dyDescent="0.2">
      <c r="A349" s="5">
        <v>347</v>
      </c>
      <c r="B349" s="1">
        <v>43147</v>
      </c>
      <c r="C349" t="s">
        <v>29</v>
      </c>
      <c r="D349" t="s">
        <v>180</v>
      </c>
    </row>
    <row r="350" spans="1:5" x14ac:dyDescent="0.2">
      <c r="A350" s="5">
        <v>348</v>
      </c>
      <c r="B350" s="1">
        <v>43147</v>
      </c>
      <c r="C350" t="s">
        <v>29</v>
      </c>
      <c r="D350" t="s">
        <v>181</v>
      </c>
    </row>
    <row r="351" spans="1:5" x14ac:dyDescent="0.2">
      <c r="A351" s="5">
        <v>349</v>
      </c>
      <c r="B351" s="1">
        <v>43147</v>
      </c>
      <c r="C351" t="s">
        <v>29</v>
      </c>
      <c r="D351" t="s">
        <v>182</v>
      </c>
      <c r="E351">
        <v>1.9291449524593942E-3</v>
      </c>
    </row>
    <row r="352" spans="1:5" x14ac:dyDescent="0.2">
      <c r="A352" s="5">
        <v>350</v>
      </c>
      <c r="B352" s="1">
        <v>43147</v>
      </c>
      <c r="C352" t="s">
        <v>49</v>
      </c>
      <c r="D352" t="s">
        <v>39</v>
      </c>
      <c r="E352">
        <v>1.7984419367707814E-4</v>
      </c>
    </row>
    <row r="353" spans="1:5" x14ac:dyDescent="0.2">
      <c r="A353" s="5">
        <v>351</v>
      </c>
      <c r="B353" s="1">
        <v>43147</v>
      </c>
      <c r="C353" t="s">
        <v>49</v>
      </c>
      <c r="D353" t="s">
        <v>32</v>
      </c>
      <c r="E353">
        <v>1.8581676872611898E-3</v>
      </c>
    </row>
    <row r="354" spans="1:5" x14ac:dyDescent="0.2">
      <c r="A354" s="5">
        <v>352</v>
      </c>
      <c r="B354" s="1">
        <v>43147</v>
      </c>
      <c r="C354" t="s">
        <v>49</v>
      </c>
      <c r="D354" t="s">
        <v>30</v>
      </c>
      <c r="E354">
        <v>5.5161740074683254E-4</v>
      </c>
    </row>
    <row r="355" spans="1:5" x14ac:dyDescent="0.2">
      <c r="A355" s="5">
        <v>353</v>
      </c>
      <c r="B355" s="1">
        <v>43147</v>
      </c>
      <c r="C355" t="s">
        <v>49</v>
      </c>
      <c r="D355" t="s">
        <v>47</v>
      </c>
    </row>
    <row r="356" spans="1:5" x14ac:dyDescent="0.2">
      <c r="A356" s="5">
        <v>354</v>
      </c>
      <c r="B356" s="1">
        <v>43147</v>
      </c>
      <c r="C356" t="s">
        <v>49</v>
      </c>
      <c r="D356" t="s">
        <v>141</v>
      </c>
    </row>
    <row r="357" spans="1:5" x14ac:dyDescent="0.2">
      <c r="A357" s="5">
        <v>355</v>
      </c>
      <c r="B357" s="1">
        <v>43147</v>
      </c>
      <c r="C357" t="s">
        <v>49</v>
      </c>
      <c r="D357" t="s">
        <v>205</v>
      </c>
    </row>
    <row r="358" spans="1:5" x14ac:dyDescent="0.2">
      <c r="A358" s="5">
        <v>356</v>
      </c>
      <c r="B358" s="1">
        <v>43147</v>
      </c>
      <c r="C358" t="s">
        <v>49</v>
      </c>
      <c r="D358" t="s">
        <v>164</v>
      </c>
    </row>
    <row r="359" spans="1:5" x14ac:dyDescent="0.2">
      <c r="A359" s="5">
        <v>357</v>
      </c>
      <c r="B359" s="1">
        <v>43147</v>
      </c>
      <c r="C359" t="s">
        <v>49</v>
      </c>
      <c r="D359" t="s">
        <v>68</v>
      </c>
      <c r="E359">
        <v>6.1234010373672874</v>
      </c>
    </row>
    <row r="360" spans="1:5" x14ac:dyDescent="0.2">
      <c r="A360" s="5">
        <v>358</v>
      </c>
      <c r="B360" s="1">
        <v>43147</v>
      </c>
      <c r="C360" t="s">
        <v>49</v>
      </c>
      <c r="D360" t="s">
        <v>177</v>
      </c>
      <c r="E360">
        <v>1.5164129804155675E-3</v>
      </c>
    </row>
    <row r="361" spans="1:5" x14ac:dyDescent="0.2">
      <c r="A361" s="5">
        <v>359</v>
      </c>
      <c r="B361" s="1">
        <v>43147</v>
      </c>
      <c r="C361" t="s">
        <v>49</v>
      </c>
      <c r="D361" t="s">
        <v>178</v>
      </c>
    </row>
    <row r="362" spans="1:5" x14ac:dyDescent="0.2">
      <c r="A362" s="5">
        <v>360</v>
      </c>
      <c r="B362" s="1">
        <v>43147</v>
      </c>
      <c r="C362" t="s">
        <v>49</v>
      </c>
      <c r="D362" t="s">
        <v>179</v>
      </c>
    </row>
    <row r="363" spans="1:5" x14ac:dyDescent="0.2">
      <c r="A363" s="5">
        <v>361</v>
      </c>
      <c r="B363" s="1">
        <v>43147</v>
      </c>
      <c r="C363" t="s">
        <v>49</v>
      </c>
      <c r="D363" t="s">
        <v>180</v>
      </c>
    </row>
    <row r="364" spans="1:5" x14ac:dyDescent="0.2">
      <c r="A364" s="5">
        <v>362</v>
      </c>
      <c r="B364" s="1">
        <v>43147</v>
      </c>
      <c r="C364" t="s">
        <v>49</v>
      </c>
      <c r="D364" t="s">
        <v>181</v>
      </c>
    </row>
    <row r="365" spans="1:5" x14ac:dyDescent="0.2">
      <c r="A365" s="5">
        <v>363</v>
      </c>
      <c r="B365" s="1">
        <v>43147</v>
      </c>
      <c r="C365" t="s">
        <v>49</v>
      </c>
      <c r="D365" t="s">
        <v>182</v>
      </c>
      <c r="E365">
        <v>1.0732163012695331E-3</v>
      </c>
    </row>
    <row r="366" spans="1:5" x14ac:dyDescent="0.2">
      <c r="A366" s="5">
        <v>364</v>
      </c>
      <c r="B366" s="1">
        <v>43146</v>
      </c>
      <c r="C366" t="s">
        <v>29</v>
      </c>
      <c r="D366" t="s">
        <v>39</v>
      </c>
      <c r="E366">
        <v>-7.5959176205042808E-5</v>
      </c>
    </row>
    <row r="367" spans="1:5" x14ac:dyDescent="0.2">
      <c r="A367" s="5">
        <v>365</v>
      </c>
      <c r="B367" s="1">
        <v>43146</v>
      </c>
      <c r="C367" t="s">
        <v>29</v>
      </c>
      <c r="D367" t="s">
        <v>32</v>
      </c>
      <c r="E367">
        <v>1.5199986655722551E-3</v>
      </c>
    </row>
    <row r="368" spans="1:5" x14ac:dyDescent="0.2">
      <c r="A368" s="5">
        <v>366</v>
      </c>
      <c r="B368" s="1">
        <v>43146</v>
      </c>
      <c r="C368" t="s">
        <v>29</v>
      </c>
      <c r="D368" t="s">
        <v>30</v>
      </c>
      <c r="E368">
        <v>2.1241582488174606E-6</v>
      </c>
    </row>
    <row r="369" spans="1:5" x14ac:dyDescent="0.2">
      <c r="A369" s="5">
        <v>367</v>
      </c>
      <c r="B369" s="1">
        <v>43146</v>
      </c>
      <c r="C369" t="s">
        <v>29</v>
      </c>
      <c r="D369" t="s">
        <v>47</v>
      </c>
    </row>
    <row r="370" spans="1:5" x14ac:dyDescent="0.2">
      <c r="A370" s="5">
        <v>368</v>
      </c>
      <c r="B370" s="1">
        <v>43146</v>
      </c>
      <c r="C370" t="s">
        <v>29</v>
      </c>
      <c r="D370" t="s">
        <v>141</v>
      </c>
    </row>
    <row r="371" spans="1:5" x14ac:dyDescent="0.2">
      <c r="A371" s="5">
        <v>369</v>
      </c>
      <c r="B371" s="1">
        <v>43146</v>
      </c>
      <c r="C371" t="s">
        <v>29</v>
      </c>
      <c r="D371" t="s">
        <v>205</v>
      </c>
    </row>
    <row r="372" spans="1:5" x14ac:dyDescent="0.2">
      <c r="A372" s="5">
        <v>370</v>
      </c>
      <c r="B372" s="1">
        <v>43146</v>
      </c>
      <c r="C372" t="s">
        <v>29</v>
      </c>
      <c r="D372" t="s">
        <v>164</v>
      </c>
    </row>
    <row r="373" spans="1:5" x14ac:dyDescent="0.2">
      <c r="A373" s="5">
        <v>371</v>
      </c>
      <c r="B373" s="1">
        <v>43146</v>
      </c>
      <c r="C373" t="s">
        <v>29</v>
      </c>
      <c r="D373" t="s">
        <v>68</v>
      </c>
      <c r="E373">
        <v>4.6220504721455988</v>
      </c>
    </row>
    <row r="374" spans="1:5" x14ac:dyDescent="0.2">
      <c r="A374" s="5">
        <v>372</v>
      </c>
      <c r="B374" s="1">
        <v>43146</v>
      </c>
      <c r="C374" t="s">
        <v>29</v>
      </c>
      <c r="D374" t="s">
        <v>177</v>
      </c>
      <c r="E374">
        <v>-4.0874461319901511E-4</v>
      </c>
    </row>
    <row r="375" spans="1:5" x14ac:dyDescent="0.2">
      <c r="A375" s="5">
        <v>373</v>
      </c>
      <c r="B375" s="1">
        <v>43146</v>
      </c>
      <c r="C375" t="s">
        <v>29</v>
      </c>
      <c r="D375" t="s">
        <v>178</v>
      </c>
    </row>
    <row r="376" spans="1:5" x14ac:dyDescent="0.2">
      <c r="A376" s="5">
        <v>374</v>
      </c>
      <c r="B376" s="1">
        <v>43146</v>
      </c>
      <c r="C376" t="s">
        <v>29</v>
      </c>
      <c r="D376" t="s">
        <v>179</v>
      </c>
    </row>
    <row r="377" spans="1:5" x14ac:dyDescent="0.2">
      <c r="A377" s="5">
        <v>375</v>
      </c>
      <c r="B377" s="1">
        <v>43146</v>
      </c>
      <c r="C377" t="s">
        <v>29</v>
      </c>
      <c r="D377" t="s">
        <v>180</v>
      </c>
    </row>
    <row r="378" spans="1:5" x14ac:dyDescent="0.2">
      <c r="A378" s="5">
        <v>376</v>
      </c>
      <c r="B378" s="1">
        <v>43146</v>
      </c>
      <c r="C378" t="s">
        <v>29</v>
      </c>
      <c r="D378" t="s">
        <v>181</v>
      </c>
    </row>
    <row r="379" spans="1:5" x14ac:dyDescent="0.2">
      <c r="A379" s="5">
        <v>377</v>
      </c>
      <c r="B379" s="1">
        <v>43146</v>
      </c>
      <c r="C379" t="s">
        <v>29</v>
      </c>
      <c r="D379" t="s">
        <v>182</v>
      </c>
      <c r="E379">
        <v>1.8549082608150436E-3</v>
      </c>
    </row>
    <row r="380" spans="1:5" x14ac:dyDescent="0.2">
      <c r="A380" s="5">
        <v>378</v>
      </c>
      <c r="B380" s="1">
        <v>43146</v>
      </c>
      <c r="C380" t="s">
        <v>49</v>
      </c>
      <c r="D380" t="s">
        <v>39</v>
      </c>
      <c r="E380">
        <v>1.9740715158478631E-4</v>
      </c>
    </row>
    <row r="381" spans="1:5" x14ac:dyDescent="0.2">
      <c r="A381" s="5">
        <v>379</v>
      </c>
      <c r="B381" s="1">
        <v>43146</v>
      </c>
      <c r="C381" t="s">
        <v>49</v>
      </c>
      <c r="D381" t="s">
        <v>32</v>
      </c>
      <c r="E381">
        <v>1.8740869511972046E-3</v>
      </c>
    </row>
    <row r="382" spans="1:5" x14ac:dyDescent="0.2">
      <c r="A382" s="5">
        <v>380</v>
      </c>
      <c r="B382" s="1">
        <v>43146</v>
      </c>
      <c r="C382" t="s">
        <v>49</v>
      </c>
      <c r="D382" t="s">
        <v>30</v>
      </c>
      <c r="E382">
        <v>5.5973939065505883E-4</v>
      </c>
    </row>
    <row r="383" spans="1:5" x14ac:dyDescent="0.2">
      <c r="A383" s="5">
        <v>381</v>
      </c>
      <c r="B383" s="1">
        <v>43146</v>
      </c>
      <c r="C383" t="s">
        <v>49</v>
      </c>
      <c r="D383" t="s">
        <v>47</v>
      </c>
    </row>
    <row r="384" spans="1:5" x14ac:dyDescent="0.2">
      <c r="A384" s="5">
        <v>382</v>
      </c>
      <c r="B384" s="1">
        <v>43146</v>
      </c>
      <c r="C384" t="s">
        <v>49</v>
      </c>
      <c r="D384" t="s">
        <v>141</v>
      </c>
    </row>
    <row r="385" spans="1:5" x14ac:dyDescent="0.2">
      <c r="A385" s="5">
        <v>383</v>
      </c>
      <c r="B385" s="1">
        <v>43146</v>
      </c>
      <c r="C385" t="s">
        <v>49</v>
      </c>
      <c r="D385" t="s">
        <v>205</v>
      </c>
    </row>
    <row r="386" spans="1:5" x14ac:dyDescent="0.2">
      <c r="A386" s="5">
        <v>384</v>
      </c>
      <c r="B386" s="1">
        <v>43146</v>
      </c>
      <c r="C386" t="s">
        <v>49</v>
      </c>
      <c r="D386" t="s">
        <v>164</v>
      </c>
    </row>
    <row r="387" spans="1:5" x14ac:dyDescent="0.2">
      <c r="A387" s="5">
        <v>385</v>
      </c>
      <c r="B387" s="1">
        <v>43146</v>
      </c>
      <c r="C387" t="s">
        <v>49</v>
      </c>
      <c r="D387" t="s">
        <v>68</v>
      </c>
      <c r="E387">
        <v>6.1296179312083954</v>
      </c>
    </row>
    <row r="388" spans="1:5" x14ac:dyDescent="0.2">
      <c r="A388" s="5">
        <v>386</v>
      </c>
      <c r="B388" s="1">
        <v>43146</v>
      </c>
      <c r="C388" t="s">
        <v>49</v>
      </c>
      <c r="D388" t="s">
        <v>177</v>
      </c>
      <c r="E388">
        <v>1.5817231137309812E-3</v>
      </c>
    </row>
    <row r="389" spans="1:5" x14ac:dyDescent="0.2">
      <c r="A389" s="5">
        <v>387</v>
      </c>
      <c r="B389" s="1">
        <v>43146</v>
      </c>
      <c r="C389" t="s">
        <v>49</v>
      </c>
      <c r="D389" t="s">
        <v>178</v>
      </c>
    </row>
    <row r="390" spans="1:5" x14ac:dyDescent="0.2">
      <c r="A390" s="5">
        <v>388</v>
      </c>
      <c r="B390" s="1">
        <v>43146</v>
      </c>
      <c r="C390" t="s">
        <v>49</v>
      </c>
      <c r="D390" t="s">
        <v>179</v>
      </c>
    </row>
    <row r="391" spans="1:5" x14ac:dyDescent="0.2">
      <c r="A391" s="5">
        <v>389</v>
      </c>
      <c r="B391" s="1">
        <v>43146</v>
      </c>
      <c r="C391" t="s">
        <v>49</v>
      </c>
      <c r="D391" t="s">
        <v>180</v>
      </c>
    </row>
    <row r="392" spans="1:5" x14ac:dyDescent="0.2">
      <c r="A392" s="5">
        <v>390</v>
      </c>
      <c r="B392" s="1">
        <v>43146</v>
      </c>
      <c r="C392" t="s">
        <v>49</v>
      </c>
      <c r="D392" t="s">
        <v>181</v>
      </c>
    </row>
    <row r="393" spans="1:5" x14ac:dyDescent="0.2">
      <c r="A393" s="5">
        <v>391</v>
      </c>
      <c r="B393" s="1">
        <v>43146</v>
      </c>
      <c r="C393" t="s">
        <v>49</v>
      </c>
      <c r="D393" t="s">
        <v>182</v>
      </c>
      <c r="E393">
        <v>1.0495103797060691E-3</v>
      </c>
    </row>
    <row r="394" spans="1:5" x14ac:dyDescent="0.2">
      <c r="A394" s="5">
        <v>392</v>
      </c>
      <c r="B394" s="1">
        <v>43145</v>
      </c>
      <c r="C394" t="s">
        <v>29</v>
      </c>
      <c r="D394" t="s">
        <v>39</v>
      </c>
      <c r="E394">
        <v>-7.8833184637785105E-5</v>
      </c>
    </row>
    <row r="395" spans="1:5" x14ac:dyDescent="0.2">
      <c r="A395" s="5">
        <v>393</v>
      </c>
      <c r="B395" s="1">
        <v>43145</v>
      </c>
      <c r="C395" t="s">
        <v>29</v>
      </c>
      <c r="D395" t="s">
        <v>32</v>
      </c>
      <c r="E395">
        <v>1.5231227015831182E-3</v>
      </c>
    </row>
    <row r="396" spans="1:5" x14ac:dyDescent="0.2">
      <c r="A396" s="5">
        <v>394</v>
      </c>
      <c r="B396" s="1">
        <v>43145</v>
      </c>
      <c r="C396" t="s">
        <v>29</v>
      </c>
      <c r="D396" t="s">
        <v>30</v>
      </c>
      <c r="E396">
        <v>1.6231944861304961E-6</v>
      </c>
    </row>
    <row r="397" spans="1:5" x14ac:dyDescent="0.2">
      <c r="A397" s="5">
        <v>395</v>
      </c>
      <c r="B397" s="1">
        <v>43145</v>
      </c>
      <c r="C397" t="s">
        <v>29</v>
      </c>
      <c r="D397" t="s">
        <v>47</v>
      </c>
    </row>
    <row r="398" spans="1:5" x14ac:dyDescent="0.2">
      <c r="A398" s="5">
        <v>396</v>
      </c>
      <c r="B398" s="1">
        <v>43145</v>
      </c>
      <c r="C398" t="s">
        <v>29</v>
      </c>
      <c r="D398" t="s">
        <v>141</v>
      </c>
    </row>
    <row r="399" spans="1:5" x14ac:dyDescent="0.2">
      <c r="A399" s="5">
        <v>397</v>
      </c>
      <c r="B399" s="1">
        <v>43145</v>
      </c>
      <c r="C399" t="s">
        <v>29</v>
      </c>
      <c r="D399" t="s">
        <v>205</v>
      </c>
    </row>
    <row r="400" spans="1:5" x14ac:dyDescent="0.2">
      <c r="A400" s="5">
        <v>398</v>
      </c>
      <c r="B400" s="1">
        <v>43145</v>
      </c>
      <c r="C400" t="s">
        <v>29</v>
      </c>
      <c r="D400" t="s">
        <v>164</v>
      </c>
    </row>
    <row r="401" spans="1:5" x14ac:dyDescent="0.2">
      <c r="A401" s="5">
        <v>399</v>
      </c>
      <c r="B401" s="1">
        <v>43145</v>
      </c>
      <c r="C401" t="s">
        <v>29</v>
      </c>
      <c r="D401" t="s">
        <v>68</v>
      </c>
      <c r="E401">
        <v>4.625124551512517</v>
      </c>
    </row>
    <row r="402" spans="1:5" x14ac:dyDescent="0.2">
      <c r="A402" s="5">
        <v>400</v>
      </c>
      <c r="B402" s="1">
        <v>43145</v>
      </c>
      <c r="C402" t="s">
        <v>29</v>
      </c>
      <c r="D402" t="s">
        <v>177</v>
      </c>
      <c r="E402">
        <v>-3.3662835285845079E-4</v>
      </c>
    </row>
    <row r="403" spans="1:5" x14ac:dyDescent="0.2">
      <c r="A403" s="5">
        <v>401</v>
      </c>
      <c r="B403" s="1">
        <v>43145</v>
      </c>
      <c r="C403" t="s">
        <v>29</v>
      </c>
      <c r="D403" t="s">
        <v>178</v>
      </c>
    </row>
    <row r="404" spans="1:5" x14ac:dyDescent="0.2">
      <c r="A404" s="5">
        <v>402</v>
      </c>
      <c r="B404" s="1">
        <v>43145</v>
      </c>
      <c r="C404" t="s">
        <v>29</v>
      </c>
      <c r="D404" t="s">
        <v>179</v>
      </c>
    </row>
    <row r="405" spans="1:5" x14ac:dyDescent="0.2">
      <c r="A405" s="5">
        <v>403</v>
      </c>
      <c r="B405" s="1">
        <v>43145</v>
      </c>
      <c r="C405" t="s">
        <v>29</v>
      </c>
      <c r="D405" t="s">
        <v>180</v>
      </c>
    </row>
    <row r="406" spans="1:5" x14ac:dyDescent="0.2">
      <c r="A406" s="5">
        <v>404</v>
      </c>
      <c r="B406" s="1">
        <v>43145</v>
      </c>
      <c r="C406" t="s">
        <v>29</v>
      </c>
      <c r="D406" t="s">
        <v>181</v>
      </c>
    </row>
    <row r="407" spans="1:5" x14ac:dyDescent="0.2">
      <c r="A407" s="5">
        <v>405</v>
      </c>
      <c r="B407" s="1">
        <v>43145</v>
      </c>
      <c r="C407" t="s">
        <v>29</v>
      </c>
      <c r="D407" t="s">
        <v>182</v>
      </c>
      <c r="E407">
        <v>1.7825410642899162E-3</v>
      </c>
    </row>
    <row r="408" spans="1:5" x14ac:dyDescent="0.2">
      <c r="A408" s="5">
        <v>406</v>
      </c>
      <c r="B408" s="1">
        <v>43145</v>
      </c>
      <c r="C408" t="s">
        <v>49</v>
      </c>
      <c r="D408" t="s">
        <v>39</v>
      </c>
      <c r="E408">
        <v>1.8897241949105713E-4</v>
      </c>
    </row>
    <row r="409" spans="1:5" x14ac:dyDescent="0.2">
      <c r="A409" s="5">
        <v>407</v>
      </c>
      <c r="B409" s="1">
        <v>43145</v>
      </c>
      <c r="C409" t="s">
        <v>49</v>
      </c>
      <c r="D409" t="s">
        <v>32</v>
      </c>
      <c r="E409">
        <v>1.9501078750352341E-3</v>
      </c>
    </row>
    <row r="410" spans="1:5" x14ac:dyDescent="0.2">
      <c r="A410" s="5">
        <v>408</v>
      </c>
      <c r="B410" s="1">
        <v>43145</v>
      </c>
      <c r="C410" t="s">
        <v>49</v>
      </c>
      <c r="D410" t="s">
        <v>30</v>
      </c>
      <c r="E410">
        <v>5.2671888287602242E-4</v>
      </c>
    </row>
    <row r="411" spans="1:5" x14ac:dyDescent="0.2">
      <c r="A411" s="5">
        <v>409</v>
      </c>
      <c r="B411" s="1">
        <v>43145</v>
      </c>
      <c r="C411" t="s">
        <v>49</v>
      </c>
      <c r="D411" t="s">
        <v>47</v>
      </c>
    </row>
    <row r="412" spans="1:5" x14ac:dyDescent="0.2">
      <c r="A412" s="5">
        <v>410</v>
      </c>
      <c r="B412" s="1">
        <v>43145</v>
      </c>
      <c r="C412" t="s">
        <v>49</v>
      </c>
      <c r="D412" t="s">
        <v>141</v>
      </c>
    </row>
    <row r="413" spans="1:5" x14ac:dyDescent="0.2">
      <c r="A413" s="5">
        <v>411</v>
      </c>
      <c r="B413" s="1">
        <v>43145</v>
      </c>
      <c r="C413" t="s">
        <v>49</v>
      </c>
      <c r="D413" t="s">
        <v>205</v>
      </c>
    </row>
    <row r="414" spans="1:5" x14ac:dyDescent="0.2">
      <c r="A414" s="5">
        <v>412</v>
      </c>
      <c r="B414" s="1">
        <v>43145</v>
      </c>
      <c r="C414" t="s">
        <v>49</v>
      </c>
      <c r="D414" t="s">
        <v>164</v>
      </c>
    </row>
    <row r="415" spans="1:5" x14ac:dyDescent="0.2">
      <c r="A415" s="5">
        <v>413</v>
      </c>
      <c r="B415" s="1">
        <v>43145</v>
      </c>
      <c r="C415" t="s">
        <v>49</v>
      </c>
      <c r="D415" t="s">
        <v>68</v>
      </c>
      <c r="E415">
        <v>6.1367206483495735</v>
      </c>
    </row>
    <row r="416" spans="1:5" x14ac:dyDescent="0.2">
      <c r="A416" s="5">
        <v>414</v>
      </c>
      <c r="B416" s="1">
        <v>43145</v>
      </c>
      <c r="C416" t="s">
        <v>49</v>
      </c>
      <c r="D416" t="s">
        <v>177</v>
      </c>
      <c r="E416">
        <v>1.8035302805058592E-3</v>
      </c>
    </row>
    <row r="417" spans="1:5" x14ac:dyDescent="0.2">
      <c r="A417" s="5">
        <v>415</v>
      </c>
      <c r="B417" s="1">
        <v>43145</v>
      </c>
      <c r="C417" t="s">
        <v>49</v>
      </c>
      <c r="D417" t="s">
        <v>178</v>
      </c>
    </row>
    <row r="418" spans="1:5" x14ac:dyDescent="0.2">
      <c r="A418" s="5">
        <v>416</v>
      </c>
      <c r="B418" s="1">
        <v>43145</v>
      </c>
      <c r="C418" t="s">
        <v>49</v>
      </c>
      <c r="D418" t="s">
        <v>179</v>
      </c>
    </row>
    <row r="419" spans="1:5" x14ac:dyDescent="0.2">
      <c r="A419" s="5">
        <v>417</v>
      </c>
      <c r="B419" s="1">
        <v>43145</v>
      </c>
      <c r="C419" t="s">
        <v>49</v>
      </c>
      <c r="D419" t="s">
        <v>180</v>
      </c>
    </row>
    <row r="420" spans="1:5" x14ac:dyDescent="0.2">
      <c r="A420" s="5">
        <v>418</v>
      </c>
      <c r="B420" s="1">
        <v>43145</v>
      </c>
      <c r="C420" t="s">
        <v>49</v>
      </c>
      <c r="D420" t="s">
        <v>181</v>
      </c>
    </row>
    <row r="421" spans="1:5" x14ac:dyDescent="0.2">
      <c r="A421" s="5">
        <v>419</v>
      </c>
      <c r="B421" s="1">
        <v>43145</v>
      </c>
      <c r="C421" t="s">
        <v>49</v>
      </c>
      <c r="D421" t="s">
        <v>182</v>
      </c>
      <c r="E421">
        <v>8.6226889689645318E-4</v>
      </c>
    </row>
    <row r="422" spans="1:5" x14ac:dyDescent="0.2">
      <c r="A422" s="5">
        <v>420</v>
      </c>
      <c r="B422" s="1">
        <v>43144</v>
      </c>
      <c r="C422" t="s">
        <v>29</v>
      </c>
      <c r="D422" t="s">
        <v>39</v>
      </c>
      <c r="E422">
        <v>-4.525272555067494E-5</v>
      </c>
    </row>
    <row r="423" spans="1:5" x14ac:dyDescent="0.2">
      <c r="A423" s="5">
        <v>421</v>
      </c>
      <c r="B423" s="1">
        <v>43144</v>
      </c>
      <c r="C423" t="s">
        <v>29</v>
      </c>
      <c r="D423" t="s">
        <v>32</v>
      </c>
      <c r="E423">
        <v>1.4896918126273036E-3</v>
      </c>
    </row>
    <row r="424" spans="1:5" x14ac:dyDescent="0.2">
      <c r="A424" s="5">
        <v>422</v>
      </c>
      <c r="B424" s="1">
        <v>43144</v>
      </c>
      <c r="C424" t="s">
        <v>29</v>
      </c>
      <c r="D424" t="s">
        <v>30</v>
      </c>
      <c r="E424">
        <v>1.6897550834441588E-6</v>
      </c>
    </row>
    <row r="425" spans="1:5" x14ac:dyDescent="0.2">
      <c r="A425" s="5">
        <v>423</v>
      </c>
      <c r="B425" s="1">
        <v>43144</v>
      </c>
      <c r="C425" t="s">
        <v>29</v>
      </c>
      <c r="D425" t="s">
        <v>47</v>
      </c>
    </row>
    <row r="426" spans="1:5" x14ac:dyDescent="0.2">
      <c r="A426" s="5">
        <v>424</v>
      </c>
      <c r="B426" s="1">
        <v>43144</v>
      </c>
      <c r="C426" t="s">
        <v>29</v>
      </c>
      <c r="D426" t="s">
        <v>141</v>
      </c>
    </row>
    <row r="427" spans="1:5" x14ac:dyDescent="0.2">
      <c r="A427" s="5">
        <v>425</v>
      </c>
      <c r="B427" s="1">
        <v>43144</v>
      </c>
      <c r="C427" t="s">
        <v>29</v>
      </c>
      <c r="D427" t="s">
        <v>205</v>
      </c>
    </row>
    <row r="428" spans="1:5" x14ac:dyDescent="0.2">
      <c r="A428" s="5">
        <v>426</v>
      </c>
      <c r="B428" s="1">
        <v>43144</v>
      </c>
      <c r="C428" t="s">
        <v>29</v>
      </c>
      <c r="D428" t="s">
        <v>164</v>
      </c>
    </row>
    <row r="429" spans="1:5" x14ac:dyDescent="0.2">
      <c r="A429" s="5">
        <v>427</v>
      </c>
      <c r="B429" s="1">
        <v>43144</v>
      </c>
      <c r="C429" t="s">
        <v>29</v>
      </c>
      <c r="D429" t="s">
        <v>68</v>
      </c>
      <c r="E429">
        <v>4.6636371859642836</v>
      </c>
    </row>
    <row r="430" spans="1:5" x14ac:dyDescent="0.2">
      <c r="A430" s="5">
        <v>428</v>
      </c>
      <c r="B430" s="1">
        <v>43144</v>
      </c>
      <c r="C430" t="s">
        <v>29</v>
      </c>
      <c r="D430" t="s">
        <v>177</v>
      </c>
      <c r="E430">
        <v>5.4854513847694158E-5</v>
      </c>
    </row>
    <row r="431" spans="1:5" x14ac:dyDescent="0.2">
      <c r="A431" s="5">
        <v>429</v>
      </c>
      <c r="B431" s="1">
        <v>43144</v>
      </c>
      <c r="C431" t="s">
        <v>29</v>
      </c>
      <c r="D431" t="s">
        <v>178</v>
      </c>
    </row>
    <row r="432" spans="1:5" x14ac:dyDescent="0.2">
      <c r="A432" s="5">
        <v>430</v>
      </c>
      <c r="B432" s="1">
        <v>43144</v>
      </c>
      <c r="C432" t="s">
        <v>29</v>
      </c>
      <c r="D432" t="s">
        <v>179</v>
      </c>
    </row>
    <row r="433" spans="1:5" x14ac:dyDescent="0.2">
      <c r="A433" s="5">
        <v>431</v>
      </c>
      <c r="B433" s="1">
        <v>43144</v>
      </c>
      <c r="C433" t="s">
        <v>29</v>
      </c>
      <c r="D433" t="s">
        <v>180</v>
      </c>
    </row>
    <row r="434" spans="1:5" x14ac:dyDescent="0.2">
      <c r="A434" s="5">
        <v>432</v>
      </c>
      <c r="B434" s="1">
        <v>43144</v>
      </c>
      <c r="C434" t="s">
        <v>29</v>
      </c>
      <c r="D434" t="s">
        <v>181</v>
      </c>
    </row>
    <row r="435" spans="1:5" x14ac:dyDescent="0.2">
      <c r="A435" s="5">
        <v>433</v>
      </c>
      <c r="B435" s="1">
        <v>43144</v>
      </c>
      <c r="C435" t="s">
        <v>29</v>
      </c>
      <c r="D435" t="s">
        <v>182</v>
      </c>
      <c r="E435">
        <v>1.3912743283123787E-3</v>
      </c>
    </row>
    <row r="436" spans="1:5" x14ac:dyDescent="0.2">
      <c r="A436" s="5">
        <v>434</v>
      </c>
      <c r="B436" s="1">
        <v>43144</v>
      </c>
      <c r="C436" t="s">
        <v>49</v>
      </c>
      <c r="D436" t="s">
        <v>39</v>
      </c>
      <c r="E436">
        <v>2.0066937468111155E-4</v>
      </c>
    </row>
    <row r="437" spans="1:5" x14ac:dyDescent="0.2">
      <c r="A437" s="5">
        <v>435</v>
      </c>
      <c r="B437" s="1">
        <v>43144</v>
      </c>
      <c r="C437" t="s">
        <v>49</v>
      </c>
      <c r="D437" t="s">
        <v>32</v>
      </c>
      <c r="E437">
        <v>1.8090559571263135E-3</v>
      </c>
    </row>
    <row r="438" spans="1:5" x14ac:dyDescent="0.2">
      <c r="A438" s="5">
        <v>436</v>
      </c>
      <c r="B438" s="1">
        <v>43144</v>
      </c>
      <c r="C438" t="s">
        <v>49</v>
      </c>
      <c r="D438" t="s">
        <v>30</v>
      </c>
      <c r="E438">
        <v>4.8985419542528746E-4</v>
      </c>
    </row>
    <row r="439" spans="1:5" x14ac:dyDescent="0.2">
      <c r="A439" s="5">
        <v>437</v>
      </c>
      <c r="B439" s="1">
        <v>43144</v>
      </c>
      <c r="C439" t="s">
        <v>49</v>
      </c>
      <c r="D439" t="s">
        <v>47</v>
      </c>
    </row>
    <row r="440" spans="1:5" x14ac:dyDescent="0.2">
      <c r="A440" s="5">
        <v>438</v>
      </c>
      <c r="B440" s="1">
        <v>43144</v>
      </c>
      <c r="C440" t="s">
        <v>49</v>
      </c>
      <c r="D440" t="s">
        <v>141</v>
      </c>
    </row>
    <row r="441" spans="1:5" x14ac:dyDescent="0.2">
      <c r="A441" s="5">
        <v>439</v>
      </c>
      <c r="B441" s="1">
        <v>43144</v>
      </c>
      <c r="C441" t="s">
        <v>49</v>
      </c>
      <c r="D441" t="s">
        <v>205</v>
      </c>
    </row>
    <row r="442" spans="1:5" x14ac:dyDescent="0.2">
      <c r="A442" s="5">
        <v>440</v>
      </c>
      <c r="B442" s="1">
        <v>43144</v>
      </c>
      <c r="C442" t="s">
        <v>49</v>
      </c>
      <c r="D442" t="s">
        <v>164</v>
      </c>
    </row>
    <row r="443" spans="1:5" x14ac:dyDescent="0.2">
      <c r="A443" s="5">
        <v>441</v>
      </c>
      <c r="B443" s="1">
        <v>43144</v>
      </c>
      <c r="C443" t="s">
        <v>49</v>
      </c>
      <c r="D443" t="s">
        <v>68</v>
      </c>
      <c r="E443">
        <v>6.1573138435612957</v>
      </c>
    </row>
    <row r="444" spans="1:5" x14ac:dyDescent="0.2">
      <c r="A444" s="5">
        <v>442</v>
      </c>
      <c r="B444" s="1">
        <v>43144</v>
      </c>
      <c r="C444" t="s">
        <v>49</v>
      </c>
      <c r="D444" t="s">
        <v>177</v>
      </c>
      <c r="E444">
        <v>2.0168372338512891E-3</v>
      </c>
    </row>
    <row r="445" spans="1:5" x14ac:dyDescent="0.2">
      <c r="A445" s="5">
        <v>443</v>
      </c>
      <c r="B445" s="1">
        <v>43144</v>
      </c>
      <c r="C445" t="s">
        <v>49</v>
      </c>
      <c r="D445" t="s">
        <v>178</v>
      </c>
    </row>
    <row r="446" spans="1:5" x14ac:dyDescent="0.2">
      <c r="A446" s="5">
        <v>444</v>
      </c>
      <c r="B446" s="1">
        <v>43144</v>
      </c>
      <c r="C446" t="s">
        <v>49</v>
      </c>
      <c r="D446" t="s">
        <v>179</v>
      </c>
    </row>
    <row r="447" spans="1:5" x14ac:dyDescent="0.2">
      <c r="A447" s="5">
        <v>445</v>
      </c>
      <c r="B447" s="1">
        <v>43144</v>
      </c>
      <c r="C447" t="s">
        <v>49</v>
      </c>
      <c r="D447" t="s">
        <v>180</v>
      </c>
    </row>
    <row r="448" spans="1:5" x14ac:dyDescent="0.2">
      <c r="A448" s="5">
        <v>446</v>
      </c>
      <c r="B448" s="1">
        <v>43144</v>
      </c>
      <c r="C448" t="s">
        <v>49</v>
      </c>
      <c r="D448" t="s">
        <v>181</v>
      </c>
    </row>
    <row r="449" spans="1:5" x14ac:dyDescent="0.2">
      <c r="A449" s="5">
        <v>447</v>
      </c>
      <c r="B449" s="1">
        <v>43144</v>
      </c>
      <c r="C449" t="s">
        <v>49</v>
      </c>
      <c r="D449" t="s">
        <v>182</v>
      </c>
      <c r="E449">
        <v>4.8274229338142227E-4</v>
      </c>
    </row>
    <row r="450" spans="1:5" x14ac:dyDescent="0.2">
      <c r="A450" s="5">
        <v>448</v>
      </c>
      <c r="B450" s="1">
        <v>43143</v>
      </c>
      <c r="C450" t="s">
        <v>29</v>
      </c>
      <c r="D450" t="s">
        <v>39</v>
      </c>
      <c r="E450">
        <v>-9.3762484198002501E-6</v>
      </c>
    </row>
    <row r="451" spans="1:5" x14ac:dyDescent="0.2">
      <c r="A451" s="5">
        <v>449</v>
      </c>
      <c r="B451" s="1">
        <v>43143</v>
      </c>
      <c r="C451" t="s">
        <v>29</v>
      </c>
      <c r="D451" t="s">
        <v>32</v>
      </c>
      <c r="E451">
        <v>1.424645794982637E-3</v>
      </c>
    </row>
    <row r="452" spans="1:5" x14ac:dyDescent="0.2">
      <c r="A452" s="5">
        <v>450</v>
      </c>
      <c r="B452" s="1">
        <v>43143</v>
      </c>
      <c r="C452" t="s">
        <v>29</v>
      </c>
      <c r="D452" t="s">
        <v>30</v>
      </c>
      <c r="E452">
        <v>2.9495130429997682E-6</v>
      </c>
    </row>
    <row r="453" spans="1:5" x14ac:dyDescent="0.2">
      <c r="A453" s="5">
        <v>451</v>
      </c>
      <c r="B453" s="1">
        <v>43143</v>
      </c>
      <c r="C453" t="s">
        <v>29</v>
      </c>
      <c r="D453" t="s">
        <v>47</v>
      </c>
    </row>
    <row r="454" spans="1:5" x14ac:dyDescent="0.2">
      <c r="A454" s="5">
        <v>452</v>
      </c>
      <c r="B454" s="1">
        <v>43143</v>
      </c>
      <c r="C454" t="s">
        <v>29</v>
      </c>
      <c r="D454" t="s">
        <v>141</v>
      </c>
    </row>
    <row r="455" spans="1:5" x14ac:dyDescent="0.2">
      <c r="A455" s="5">
        <v>453</v>
      </c>
      <c r="B455" s="1">
        <v>43143</v>
      </c>
      <c r="C455" t="s">
        <v>29</v>
      </c>
      <c r="D455" t="s">
        <v>205</v>
      </c>
    </row>
    <row r="456" spans="1:5" x14ac:dyDescent="0.2">
      <c r="A456" s="5">
        <v>454</v>
      </c>
      <c r="B456" s="1">
        <v>43143</v>
      </c>
      <c r="C456" t="s">
        <v>29</v>
      </c>
      <c r="D456" t="s">
        <v>164</v>
      </c>
    </row>
    <row r="457" spans="1:5" x14ac:dyDescent="0.2">
      <c r="A457" s="5">
        <v>455</v>
      </c>
      <c r="B457" s="1">
        <v>43143</v>
      </c>
      <c r="C457" t="s">
        <v>29</v>
      </c>
      <c r="D457" t="s">
        <v>68</v>
      </c>
      <c r="E457">
        <v>4.6646834837444322</v>
      </c>
    </row>
    <row r="458" spans="1:5" x14ac:dyDescent="0.2">
      <c r="A458" s="5">
        <v>456</v>
      </c>
      <c r="B458" s="1">
        <v>43143</v>
      </c>
      <c r="C458" t="s">
        <v>29</v>
      </c>
      <c r="D458" t="s">
        <v>177</v>
      </c>
      <c r="E458">
        <v>1.6877171304759332E-4</v>
      </c>
    </row>
    <row r="459" spans="1:5" x14ac:dyDescent="0.2">
      <c r="A459" s="5">
        <v>457</v>
      </c>
      <c r="B459" s="1">
        <v>43143</v>
      </c>
      <c r="C459" t="s">
        <v>29</v>
      </c>
      <c r="D459" t="s">
        <v>178</v>
      </c>
    </row>
    <row r="460" spans="1:5" x14ac:dyDescent="0.2">
      <c r="A460" s="5">
        <v>458</v>
      </c>
      <c r="B460" s="1">
        <v>43143</v>
      </c>
      <c r="C460" t="s">
        <v>29</v>
      </c>
      <c r="D460" t="s">
        <v>179</v>
      </c>
    </row>
    <row r="461" spans="1:5" x14ac:dyDescent="0.2">
      <c r="A461" s="5">
        <v>459</v>
      </c>
      <c r="B461" s="1">
        <v>43143</v>
      </c>
      <c r="C461" t="s">
        <v>29</v>
      </c>
      <c r="D461" t="s">
        <v>180</v>
      </c>
    </row>
    <row r="462" spans="1:5" x14ac:dyDescent="0.2">
      <c r="A462" s="5">
        <v>460</v>
      </c>
      <c r="B462" s="1">
        <v>43143</v>
      </c>
      <c r="C462" t="s">
        <v>29</v>
      </c>
      <c r="D462" t="s">
        <v>181</v>
      </c>
    </row>
    <row r="463" spans="1:5" x14ac:dyDescent="0.2">
      <c r="A463" s="5">
        <v>461</v>
      </c>
      <c r="B463" s="1">
        <v>43143</v>
      </c>
      <c r="C463" t="s">
        <v>29</v>
      </c>
      <c r="D463" t="s">
        <v>182</v>
      </c>
      <c r="E463">
        <v>1.2494473465582418E-3</v>
      </c>
    </row>
    <row r="464" spans="1:5" x14ac:dyDescent="0.2">
      <c r="A464" s="5">
        <v>462</v>
      </c>
      <c r="B464" s="1">
        <v>43143</v>
      </c>
      <c r="C464" t="s">
        <v>49</v>
      </c>
      <c r="D464" t="s">
        <v>39</v>
      </c>
      <c r="E464">
        <v>1.9983864599943925E-4</v>
      </c>
    </row>
    <row r="465" spans="1:5" x14ac:dyDescent="0.2">
      <c r="A465" s="5">
        <v>463</v>
      </c>
      <c r="B465" s="1">
        <v>43143</v>
      </c>
      <c r="C465" t="s">
        <v>49</v>
      </c>
      <c r="D465" t="s">
        <v>32</v>
      </c>
      <c r="E465">
        <v>1.8770509557925234E-3</v>
      </c>
    </row>
    <row r="466" spans="1:5" x14ac:dyDescent="0.2">
      <c r="A466" s="5">
        <v>464</v>
      </c>
      <c r="B466" s="1">
        <v>43143</v>
      </c>
      <c r="C466" t="s">
        <v>49</v>
      </c>
      <c r="D466" t="s">
        <v>30</v>
      </c>
      <c r="E466">
        <v>5.02134787266412E-4</v>
      </c>
    </row>
    <row r="467" spans="1:5" x14ac:dyDescent="0.2">
      <c r="A467" s="5">
        <v>465</v>
      </c>
      <c r="B467" s="1">
        <v>43143</v>
      </c>
      <c r="C467" t="s">
        <v>49</v>
      </c>
      <c r="D467" t="s">
        <v>47</v>
      </c>
    </row>
    <row r="468" spans="1:5" x14ac:dyDescent="0.2">
      <c r="A468" s="5">
        <v>466</v>
      </c>
      <c r="B468" s="1">
        <v>43143</v>
      </c>
      <c r="C468" t="s">
        <v>49</v>
      </c>
      <c r="D468" t="s">
        <v>141</v>
      </c>
    </row>
    <row r="469" spans="1:5" x14ac:dyDescent="0.2">
      <c r="A469" s="5">
        <v>467</v>
      </c>
      <c r="B469" s="1">
        <v>43143</v>
      </c>
      <c r="C469" t="s">
        <v>49</v>
      </c>
      <c r="D469" t="s">
        <v>205</v>
      </c>
    </row>
    <row r="470" spans="1:5" x14ac:dyDescent="0.2">
      <c r="A470" s="5">
        <v>468</v>
      </c>
      <c r="B470" s="1">
        <v>43143</v>
      </c>
      <c r="C470" t="s">
        <v>49</v>
      </c>
      <c r="D470" t="s">
        <v>164</v>
      </c>
    </row>
    <row r="471" spans="1:5" x14ac:dyDescent="0.2">
      <c r="A471" s="5">
        <v>469</v>
      </c>
      <c r="B471" s="1">
        <v>43143</v>
      </c>
      <c r="C471" t="s">
        <v>49</v>
      </c>
      <c r="D471" t="s">
        <v>68</v>
      </c>
      <c r="E471">
        <v>6.1558528986497008</v>
      </c>
    </row>
    <row r="472" spans="1:5" x14ac:dyDescent="0.2">
      <c r="A472" s="5">
        <v>470</v>
      </c>
      <c r="B472" s="1">
        <v>43143</v>
      </c>
      <c r="C472" t="s">
        <v>49</v>
      </c>
      <c r="D472" t="s">
        <v>177</v>
      </c>
      <c r="E472">
        <v>2.0565004539812967E-3</v>
      </c>
    </row>
    <row r="473" spans="1:5" x14ac:dyDescent="0.2">
      <c r="A473" s="5">
        <v>471</v>
      </c>
      <c r="B473" s="1">
        <v>43143</v>
      </c>
      <c r="C473" t="s">
        <v>49</v>
      </c>
      <c r="D473" t="s">
        <v>178</v>
      </c>
    </row>
    <row r="474" spans="1:5" x14ac:dyDescent="0.2">
      <c r="A474" s="5">
        <v>472</v>
      </c>
      <c r="B474" s="1">
        <v>43143</v>
      </c>
      <c r="C474" t="s">
        <v>49</v>
      </c>
      <c r="D474" t="s">
        <v>179</v>
      </c>
    </row>
    <row r="475" spans="1:5" x14ac:dyDescent="0.2">
      <c r="A475" s="5">
        <v>473</v>
      </c>
      <c r="B475" s="1">
        <v>43143</v>
      </c>
      <c r="C475" t="s">
        <v>49</v>
      </c>
      <c r="D475" t="s">
        <v>180</v>
      </c>
    </row>
    <row r="476" spans="1:5" x14ac:dyDescent="0.2">
      <c r="A476" s="5">
        <v>474</v>
      </c>
      <c r="B476" s="1">
        <v>43143</v>
      </c>
      <c r="C476" t="s">
        <v>49</v>
      </c>
      <c r="D476" t="s">
        <v>181</v>
      </c>
    </row>
    <row r="477" spans="1:5" x14ac:dyDescent="0.2">
      <c r="A477" s="5">
        <v>475</v>
      </c>
      <c r="B477" s="1">
        <v>43143</v>
      </c>
      <c r="C477" t="s">
        <v>49</v>
      </c>
      <c r="D477" t="s">
        <v>182</v>
      </c>
      <c r="E477">
        <v>5.2252393507707913E-4</v>
      </c>
    </row>
    <row r="478" spans="1:5" x14ac:dyDescent="0.2">
      <c r="A478" s="5">
        <v>476</v>
      </c>
      <c r="B478" s="1">
        <v>43140</v>
      </c>
      <c r="C478" t="s">
        <v>29</v>
      </c>
      <c r="D478" t="s">
        <v>39</v>
      </c>
      <c r="E478">
        <v>1.9267061300333282E-5</v>
      </c>
    </row>
    <row r="479" spans="1:5" x14ac:dyDescent="0.2">
      <c r="A479" s="5">
        <v>477</v>
      </c>
      <c r="B479" s="1">
        <v>43140</v>
      </c>
      <c r="C479" t="s">
        <v>29</v>
      </c>
      <c r="D479" t="s">
        <v>32</v>
      </c>
      <c r="E479">
        <v>1.4168945315690322E-3</v>
      </c>
    </row>
    <row r="480" spans="1:5" x14ac:dyDescent="0.2">
      <c r="A480" s="5">
        <v>478</v>
      </c>
      <c r="B480" s="1">
        <v>43140</v>
      </c>
      <c r="C480" t="s">
        <v>29</v>
      </c>
      <c r="D480" t="s">
        <v>30</v>
      </c>
      <c r="E480">
        <v>6.4852826069913599E-6</v>
      </c>
    </row>
    <row r="481" spans="1:5" x14ac:dyDescent="0.2">
      <c r="A481" s="5">
        <v>479</v>
      </c>
      <c r="B481" s="1">
        <v>43140</v>
      </c>
      <c r="C481" t="s">
        <v>29</v>
      </c>
      <c r="D481" t="s">
        <v>47</v>
      </c>
    </row>
    <row r="482" spans="1:5" x14ac:dyDescent="0.2">
      <c r="A482" s="5">
        <v>480</v>
      </c>
      <c r="B482" s="1">
        <v>43140</v>
      </c>
      <c r="C482" t="s">
        <v>29</v>
      </c>
      <c r="D482" t="s">
        <v>141</v>
      </c>
    </row>
    <row r="483" spans="1:5" x14ac:dyDescent="0.2">
      <c r="A483" s="5">
        <v>481</v>
      </c>
      <c r="B483" s="1">
        <v>43140</v>
      </c>
      <c r="C483" t="s">
        <v>29</v>
      </c>
      <c r="D483" t="s">
        <v>205</v>
      </c>
    </row>
    <row r="484" spans="1:5" x14ac:dyDescent="0.2">
      <c r="A484" s="5">
        <v>482</v>
      </c>
      <c r="B484" s="1">
        <v>43140</v>
      </c>
      <c r="C484" t="s">
        <v>29</v>
      </c>
      <c r="D484" t="s">
        <v>164</v>
      </c>
    </row>
    <row r="485" spans="1:5" x14ac:dyDescent="0.2">
      <c r="A485" s="5">
        <v>483</v>
      </c>
      <c r="B485" s="1">
        <v>43140</v>
      </c>
      <c r="C485" t="s">
        <v>29</v>
      </c>
      <c r="D485" t="s">
        <v>68</v>
      </c>
      <c r="E485">
        <v>4.6723912066198823</v>
      </c>
    </row>
    <row r="486" spans="1:5" x14ac:dyDescent="0.2">
      <c r="A486" s="5">
        <v>484</v>
      </c>
      <c r="B486" s="1">
        <v>43140</v>
      </c>
      <c r="C486" t="s">
        <v>29</v>
      </c>
      <c r="D486" t="s">
        <v>177</v>
      </c>
      <c r="E486">
        <v>2.8197904779340955E-4</v>
      </c>
    </row>
    <row r="487" spans="1:5" x14ac:dyDescent="0.2">
      <c r="A487" s="5">
        <v>485</v>
      </c>
      <c r="B487" s="1">
        <v>43140</v>
      </c>
      <c r="C487" t="s">
        <v>29</v>
      </c>
      <c r="D487" t="s">
        <v>178</v>
      </c>
    </row>
    <row r="488" spans="1:5" x14ac:dyDescent="0.2">
      <c r="A488" s="5">
        <v>486</v>
      </c>
      <c r="B488" s="1">
        <v>43140</v>
      </c>
      <c r="C488" t="s">
        <v>29</v>
      </c>
      <c r="D488" t="s">
        <v>179</v>
      </c>
    </row>
    <row r="489" spans="1:5" x14ac:dyDescent="0.2">
      <c r="A489" s="5">
        <v>487</v>
      </c>
      <c r="B489" s="1">
        <v>43140</v>
      </c>
      <c r="C489" t="s">
        <v>29</v>
      </c>
      <c r="D489" t="s">
        <v>180</v>
      </c>
    </row>
    <row r="490" spans="1:5" x14ac:dyDescent="0.2">
      <c r="A490" s="5">
        <v>488</v>
      </c>
      <c r="B490" s="1">
        <v>43140</v>
      </c>
      <c r="C490" t="s">
        <v>29</v>
      </c>
      <c r="D490" t="s">
        <v>181</v>
      </c>
    </row>
    <row r="491" spans="1:5" x14ac:dyDescent="0.2">
      <c r="A491" s="5">
        <v>489</v>
      </c>
      <c r="B491" s="1">
        <v>43140</v>
      </c>
      <c r="C491" t="s">
        <v>29</v>
      </c>
      <c r="D491" t="s">
        <v>182</v>
      </c>
      <c r="E491">
        <v>1.1606678276829467E-3</v>
      </c>
    </row>
    <row r="492" spans="1:5" x14ac:dyDescent="0.2">
      <c r="A492" s="5">
        <v>490</v>
      </c>
      <c r="B492" s="1">
        <v>43140</v>
      </c>
      <c r="C492" t="s">
        <v>49</v>
      </c>
      <c r="D492" t="s">
        <v>39</v>
      </c>
      <c r="E492">
        <v>1.6520309570086363E-4</v>
      </c>
    </row>
    <row r="493" spans="1:5" x14ac:dyDescent="0.2">
      <c r="A493" s="5">
        <v>491</v>
      </c>
      <c r="B493" s="1">
        <v>43140</v>
      </c>
      <c r="C493" t="s">
        <v>49</v>
      </c>
      <c r="D493" t="s">
        <v>32</v>
      </c>
      <c r="E493">
        <v>1.8856203401834749E-3</v>
      </c>
    </row>
    <row r="494" spans="1:5" x14ac:dyDescent="0.2">
      <c r="A494" s="5">
        <v>492</v>
      </c>
      <c r="B494" s="1">
        <v>43140</v>
      </c>
      <c r="C494" t="s">
        <v>49</v>
      </c>
      <c r="D494" t="s">
        <v>30</v>
      </c>
      <c r="E494">
        <v>3.9140245903668345E-4</v>
      </c>
    </row>
    <row r="495" spans="1:5" x14ac:dyDescent="0.2">
      <c r="A495" s="5">
        <v>493</v>
      </c>
      <c r="B495" s="1">
        <v>43140</v>
      </c>
      <c r="C495" t="s">
        <v>49</v>
      </c>
      <c r="D495" t="s">
        <v>47</v>
      </c>
    </row>
    <row r="496" spans="1:5" x14ac:dyDescent="0.2">
      <c r="A496" s="5">
        <v>494</v>
      </c>
      <c r="B496" s="1">
        <v>43140</v>
      </c>
      <c r="C496" t="s">
        <v>49</v>
      </c>
      <c r="D496" t="s">
        <v>141</v>
      </c>
    </row>
    <row r="497" spans="1:5" x14ac:dyDescent="0.2">
      <c r="A497" s="5">
        <v>495</v>
      </c>
      <c r="B497" s="1">
        <v>43140</v>
      </c>
      <c r="C497" t="s">
        <v>49</v>
      </c>
      <c r="D497" t="s">
        <v>205</v>
      </c>
    </row>
    <row r="498" spans="1:5" x14ac:dyDescent="0.2">
      <c r="A498" s="5">
        <v>496</v>
      </c>
      <c r="B498" s="1">
        <v>43140</v>
      </c>
      <c r="C498" t="s">
        <v>49</v>
      </c>
      <c r="D498" t="s">
        <v>164</v>
      </c>
    </row>
    <row r="499" spans="1:5" x14ac:dyDescent="0.2">
      <c r="A499" s="5">
        <v>497</v>
      </c>
      <c r="B499" s="1">
        <v>43140</v>
      </c>
      <c r="C499" t="s">
        <v>49</v>
      </c>
      <c r="D499" t="s">
        <v>68</v>
      </c>
      <c r="E499">
        <v>6.1630295853928203</v>
      </c>
    </row>
    <row r="500" spans="1:5" x14ac:dyDescent="0.2">
      <c r="A500" s="5">
        <v>498</v>
      </c>
      <c r="B500" s="1">
        <v>43140</v>
      </c>
      <c r="C500" t="s">
        <v>49</v>
      </c>
      <c r="D500" t="s">
        <v>177</v>
      </c>
      <c r="E500">
        <v>1.7204416108667717E-3</v>
      </c>
    </row>
    <row r="501" spans="1:5" x14ac:dyDescent="0.2">
      <c r="A501" s="5">
        <v>499</v>
      </c>
      <c r="B501" s="1">
        <v>43140</v>
      </c>
      <c r="C501" t="s">
        <v>49</v>
      </c>
      <c r="D501" t="s">
        <v>178</v>
      </c>
    </row>
    <row r="502" spans="1:5" x14ac:dyDescent="0.2">
      <c r="A502" s="5">
        <v>500</v>
      </c>
      <c r="B502" s="1">
        <v>43140</v>
      </c>
      <c r="C502" t="s">
        <v>49</v>
      </c>
      <c r="D502" t="s">
        <v>179</v>
      </c>
    </row>
    <row r="503" spans="1:5" x14ac:dyDescent="0.2">
      <c r="A503" s="5">
        <v>501</v>
      </c>
      <c r="B503" s="1">
        <v>43140</v>
      </c>
      <c r="C503" t="s">
        <v>49</v>
      </c>
      <c r="D503" t="s">
        <v>180</v>
      </c>
    </row>
    <row r="504" spans="1:5" x14ac:dyDescent="0.2">
      <c r="A504" s="5">
        <v>502</v>
      </c>
      <c r="B504" s="1">
        <v>43140</v>
      </c>
      <c r="C504" t="s">
        <v>49</v>
      </c>
      <c r="D504" t="s">
        <v>181</v>
      </c>
    </row>
    <row r="505" spans="1:5" x14ac:dyDescent="0.2">
      <c r="A505" s="5">
        <v>503</v>
      </c>
      <c r="B505" s="1">
        <v>43140</v>
      </c>
      <c r="C505" t="s">
        <v>49</v>
      </c>
      <c r="D505" t="s">
        <v>182</v>
      </c>
      <c r="E505">
        <v>7.2178428405425044E-4</v>
      </c>
    </row>
    <row r="506" spans="1:5" x14ac:dyDescent="0.2">
      <c r="A506" s="5">
        <v>504</v>
      </c>
      <c r="B506" s="1">
        <v>43139</v>
      </c>
      <c r="C506" t="s">
        <v>29</v>
      </c>
      <c r="D506" t="s">
        <v>39</v>
      </c>
      <c r="E506">
        <v>1.2048438255527206E-5</v>
      </c>
    </row>
    <row r="507" spans="1:5" x14ac:dyDescent="0.2">
      <c r="A507" s="5">
        <v>505</v>
      </c>
      <c r="B507" s="1">
        <v>43139</v>
      </c>
      <c r="C507" t="s">
        <v>29</v>
      </c>
      <c r="D507" t="s">
        <v>32</v>
      </c>
      <c r="E507">
        <v>1.2536949649589286E-3</v>
      </c>
    </row>
    <row r="508" spans="1:5" x14ac:dyDescent="0.2">
      <c r="A508" s="5">
        <v>506</v>
      </c>
      <c r="B508" s="1">
        <v>43139</v>
      </c>
      <c r="C508" t="s">
        <v>29</v>
      </c>
      <c r="D508" t="s">
        <v>30</v>
      </c>
      <c r="E508">
        <v>2.9301471642432557E-6</v>
      </c>
    </row>
    <row r="509" spans="1:5" x14ac:dyDescent="0.2">
      <c r="A509" s="5">
        <v>507</v>
      </c>
      <c r="B509" s="1">
        <v>43139</v>
      </c>
      <c r="C509" t="s">
        <v>29</v>
      </c>
      <c r="D509" t="s">
        <v>47</v>
      </c>
    </row>
    <row r="510" spans="1:5" x14ac:dyDescent="0.2">
      <c r="A510" s="5">
        <v>508</v>
      </c>
      <c r="B510" s="1">
        <v>43139</v>
      </c>
      <c r="C510" t="s">
        <v>29</v>
      </c>
      <c r="D510" t="s">
        <v>141</v>
      </c>
    </row>
    <row r="511" spans="1:5" x14ac:dyDescent="0.2">
      <c r="A511" s="5">
        <v>509</v>
      </c>
      <c r="B511" s="1">
        <v>43139</v>
      </c>
      <c r="C511" t="s">
        <v>29</v>
      </c>
      <c r="D511" t="s">
        <v>205</v>
      </c>
    </row>
    <row r="512" spans="1:5" x14ac:dyDescent="0.2">
      <c r="A512" s="5">
        <v>510</v>
      </c>
      <c r="B512" s="1">
        <v>43139</v>
      </c>
      <c r="C512" t="s">
        <v>29</v>
      </c>
      <c r="D512" t="s">
        <v>164</v>
      </c>
    </row>
    <row r="513" spans="1:5" x14ac:dyDescent="0.2">
      <c r="A513" s="5">
        <v>511</v>
      </c>
      <c r="B513" s="1">
        <v>43139</v>
      </c>
      <c r="C513" t="s">
        <v>29</v>
      </c>
      <c r="D513" t="s">
        <v>68</v>
      </c>
      <c r="E513">
        <v>4.672135662519481</v>
      </c>
    </row>
    <row r="514" spans="1:5" x14ac:dyDescent="0.2">
      <c r="A514" s="5">
        <v>512</v>
      </c>
      <c r="B514" s="1">
        <v>43139</v>
      </c>
      <c r="C514" t="s">
        <v>29</v>
      </c>
      <c r="D514" t="s">
        <v>177</v>
      </c>
      <c r="E514">
        <v>1.1955597276961769E-3</v>
      </c>
    </row>
    <row r="515" spans="1:5" x14ac:dyDescent="0.2">
      <c r="A515" s="5">
        <v>513</v>
      </c>
      <c r="B515" s="1">
        <v>43139</v>
      </c>
      <c r="C515" t="s">
        <v>29</v>
      </c>
      <c r="D515" t="s">
        <v>178</v>
      </c>
    </row>
    <row r="516" spans="1:5" x14ac:dyDescent="0.2">
      <c r="A516" s="5">
        <v>514</v>
      </c>
      <c r="B516" s="1">
        <v>43139</v>
      </c>
      <c r="C516" t="s">
        <v>29</v>
      </c>
      <c r="D516" t="s">
        <v>179</v>
      </c>
    </row>
    <row r="517" spans="1:5" x14ac:dyDescent="0.2">
      <c r="A517" s="5">
        <v>515</v>
      </c>
      <c r="B517" s="1">
        <v>43139</v>
      </c>
      <c r="C517" t="s">
        <v>29</v>
      </c>
      <c r="D517" t="s">
        <v>180</v>
      </c>
    </row>
    <row r="518" spans="1:5" x14ac:dyDescent="0.2">
      <c r="A518" s="5">
        <v>516</v>
      </c>
      <c r="B518" s="1">
        <v>43139</v>
      </c>
      <c r="C518" t="s">
        <v>29</v>
      </c>
      <c r="D518" t="s">
        <v>181</v>
      </c>
    </row>
    <row r="519" spans="1:5" x14ac:dyDescent="0.2">
      <c r="A519" s="5">
        <v>517</v>
      </c>
      <c r="B519" s="1">
        <v>43139</v>
      </c>
      <c r="C519" t="s">
        <v>29</v>
      </c>
      <c r="D519" t="s">
        <v>182</v>
      </c>
      <c r="E519">
        <v>7.311382268252161E-5</v>
      </c>
    </row>
    <row r="520" spans="1:5" x14ac:dyDescent="0.2">
      <c r="A520" s="5">
        <v>518</v>
      </c>
      <c r="B520" s="1">
        <v>43139</v>
      </c>
      <c r="C520" t="s">
        <v>49</v>
      </c>
      <c r="D520" t="s">
        <v>39</v>
      </c>
      <c r="E520">
        <v>1.0470406998784793E-4</v>
      </c>
    </row>
    <row r="521" spans="1:5" x14ac:dyDescent="0.2">
      <c r="A521" s="5">
        <v>519</v>
      </c>
      <c r="B521" s="1">
        <v>43139</v>
      </c>
      <c r="C521" t="s">
        <v>49</v>
      </c>
      <c r="D521" t="s">
        <v>32</v>
      </c>
      <c r="E521">
        <v>1.9716519586502356E-3</v>
      </c>
    </row>
    <row r="522" spans="1:5" x14ac:dyDescent="0.2">
      <c r="A522" s="5">
        <v>520</v>
      </c>
      <c r="B522" s="1">
        <v>43139</v>
      </c>
      <c r="C522" t="s">
        <v>49</v>
      </c>
      <c r="D522" t="s">
        <v>30</v>
      </c>
      <c r="E522">
        <v>2.9642374571073928E-4</v>
      </c>
    </row>
    <row r="523" spans="1:5" x14ac:dyDescent="0.2">
      <c r="A523" s="5">
        <v>521</v>
      </c>
      <c r="B523" s="1">
        <v>43139</v>
      </c>
      <c r="C523" t="s">
        <v>49</v>
      </c>
      <c r="D523" t="s">
        <v>47</v>
      </c>
    </row>
    <row r="524" spans="1:5" x14ac:dyDescent="0.2">
      <c r="A524" s="5">
        <v>522</v>
      </c>
      <c r="B524" s="1">
        <v>43139</v>
      </c>
      <c r="C524" t="s">
        <v>49</v>
      </c>
      <c r="D524" t="s">
        <v>141</v>
      </c>
    </row>
    <row r="525" spans="1:5" x14ac:dyDescent="0.2">
      <c r="A525" s="5">
        <v>523</v>
      </c>
      <c r="B525" s="1">
        <v>43139</v>
      </c>
      <c r="C525" t="s">
        <v>49</v>
      </c>
      <c r="D525" t="s">
        <v>205</v>
      </c>
    </row>
    <row r="526" spans="1:5" x14ac:dyDescent="0.2">
      <c r="A526" s="5">
        <v>524</v>
      </c>
      <c r="B526" s="1">
        <v>43139</v>
      </c>
      <c r="C526" t="s">
        <v>49</v>
      </c>
      <c r="D526" t="s">
        <v>164</v>
      </c>
    </row>
    <row r="527" spans="1:5" x14ac:dyDescent="0.2">
      <c r="A527" s="5">
        <v>525</v>
      </c>
      <c r="B527" s="1">
        <v>43139</v>
      </c>
      <c r="C527" t="s">
        <v>49</v>
      </c>
      <c r="D527" t="s">
        <v>68</v>
      </c>
      <c r="E527">
        <v>6.1657040365439144</v>
      </c>
    </row>
    <row r="528" spans="1:5" x14ac:dyDescent="0.2">
      <c r="A528" s="5">
        <v>526</v>
      </c>
      <c r="B528" s="1">
        <v>43139</v>
      </c>
      <c r="C528" t="s">
        <v>49</v>
      </c>
      <c r="D528" t="s">
        <v>177</v>
      </c>
      <c r="E528">
        <v>2.1079331695274691E-3</v>
      </c>
    </row>
    <row r="529" spans="1:5" x14ac:dyDescent="0.2">
      <c r="A529" s="5">
        <v>527</v>
      </c>
      <c r="B529" s="1">
        <v>43139</v>
      </c>
      <c r="C529" t="s">
        <v>49</v>
      </c>
      <c r="D529" t="s">
        <v>178</v>
      </c>
    </row>
    <row r="530" spans="1:5" x14ac:dyDescent="0.2">
      <c r="A530" s="5">
        <v>528</v>
      </c>
      <c r="B530" s="1">
        <v>43139</v>
      </c>
      <c r="C530" t="s">
        <v>49</v>
      </c>
      <c r="D530" t="s">
        <v>179</v>
      </c>
    </row>
    <row r="531" spans="1:5" x14ac:dyDescent="0.2">
      <c r="A531" s="5">
        <v>529</v>
      </c>
      <c r="B531" s="1">
        <v>43139</v>
      </c>
      <c r="C531" t="s">
        <v>49</v>
      </c>
      <c r="D531" t="s">
        <v>180</v>
      </c>
    </row>
    <row r="532" spans="1:5" x14ac:dyDescent="0.2">
      <c r="A532" s="5">
        <v>530</v>
      </c>
      <c r="B532" s="1">
        <v>43139</v>
      </c>
      <c r="C532" t="s">
        <v>49</v>
      </c>
      <c r="D532" t="s">
        <v>181</v>
      </c>
    </row>
    <row r="533" spans="1:5" x14ac:dyDescent="0.2">
      <c r="A533" s="5">
        <v>531</v>
      </c>
      <c r="B533" s="1">
        <v>43139</v>
      </c>
      <c r="C533" t="s">
        <v>49</v>
      </c>
      <c r="D533" t="s">
        <v>182</v>
      </c>
      <c r="E533">
        <v>2.6484660482135257E-4</v>
      </c>
    </row>
    <row r="534" spans="1:5" x14ac:dyDescent="0.2">
      <c r="A534" s="5">
        <v>532</v>
      </c>
      <c r="B534" s="1">
        <v>43138</v>
      </c>
      <c r="C534" t="s">
        <v>29</v>
      </c>
      <c r="D534" t="s">
        <v>39</v>
      </c>
      <c r="E534">
        <v>8.8937930091365686E-6</v>
      </c>
    </row>
    <row r="535" spans="1:5" x14ac:dyDescent="0.2">
      <c r="A535" s="5">
        <v>533</v>
      </c>
      <c r="B535" s="1">
        <v>43138</v>
      </c>
      <c r="C535" t="s">
        <v>29</v>
      </c>
      <c r="D535" t="s">
        <v>32</v>
      </c>
      <c r="E535">
        <v>1.2874026817610135E-3</v>
      </c>
    </row>
    <row r="536" spans="1:5" x14ac:dyDescent="0.2">
      <c r="A536" s="5">
        <v>534</v>
      </c>
      <c r="B536" s="1">
        <v>43138</v>
      </c>
      <c r="C536" t="s">
        <v>29</v>
      </c>
      <c r="D536" t="s">
        <v>30</v>
      </c>
      <c r="E536">
        <v>1.2941803961363205E-6</v>
      </c>
    </row>
    <row r="537" spans="1:5" x14ac:dyDescent="0.2">
      <c r="A537" s="5">
        <v>535</v>
      </c>
      <c r="B537" s="1">
        <v>43138</v>
      </c>
      <c r="C537" t="s">
        <v>29</v>
      </c>
      <c r="D537" t="s">
        <v>47</v>
      </c>
    </row>
    <row r="538" spans="1:5" x14ac:dyDescent="0.2">
      <c r="A538" s="5">
        <v>536</v>
      </c>
      <c r="B538" s="1">
        <v>43138</v>
      </c>
      <c r="C538" t="s">
        <v>29</v>
      </c>
      <c r="D538" t="s">
        <v>141</v>
      </c>
    </row>
    <row r="539" spans="1:5" x14ac:dyDescent="0.2">
      <c r="A539" s="5">
        <v>537</v>
      </c>
      <c r="B539" s="1">
        <v>43138</v>
      </c>
      <c r="C539" t="s">
        <v>29</v>
      </c>
      <c r="D539" t="s">
        <v>205</v>
      </c>
    </row>
    <row r="540" spans="1:5" x14ac:dyDescent="0.2">
      <c r="A540" s="5">
        <v>538</v>
      </c>
      <c r="B540" s="1">
        <v>43138</v>
      </c>
      <c r="C540" t="s">
        <v>29</v>
      </c>
      <c r="D540" t="s">
        <v>164</v>
      </c>
    </row>
    <row r="541" spans="1:5" x14ac:dyDescent="0.2">
      <c r="A541" s="5">
        <v>539</v>
      </c>
      <c r="B541" s="1">
        <v>43138</v>
      </c>
      <c r="C541" t="s">
        <v>29</v>
      </c>
      <c r="D541" t="s">
        <v>68</v>
      </c>
      <c r="E541">
        <v>4.654856288284047</v>
      </c>
    </row>
    <row r="542" spans="1:5" x14ac:dyDescent="0.2">
      <c r="A542" s="5">
        <v>540</v>
      </c>
      <c r="B542" s="1">
        <v>43138</v>
      </c>
      <c r="C542" t="s">
        <v>29</v>
      </c>
      <c r="D542" t="s">
        <v>177</v>
      </c>
      <c r="E542">
        <v>1.0550180798360861E-3</v>
      </c>
    </row>
    <row r="543" spans="1:5" x14ac:dyDescent="0.2">
      <c r="A543" s="5">
        <v>541</v>
      </c>
      <c r="B543" s="1">
        <v>43138</v>
      </c>
      <c r="C543" t="s">
        <v>29</v>
      </c>
      <c r="D543" t="s">
        <v>178</v>
      </c>
    </row>
    <row r="544" spans="1:5" x14ac:dyDescent="0.2">
      <c r="A544" s="5">
        <v>542</v>
      </c>
      <c r="B544" s="1">
        <v>43138</v>
      </c>
      <c r="C544" t="s">
        <v>29</v>
      </c>
      <c r="D544" t="s">
        <v>179</v>
      </c>
    </row>
    <row r="545" spans="1:5" x14ac:dyDescent="0.2">
      <c r="A545" s="5">
        <v>543</v>
      </c>
      <c r="B545" s="1">
        <v>43138</v>
      </c>
      <c r="C545" t="s">
        <v>29</v>
      </c>
      <c r="D545" t="s">
        <v>180</v>
      </c>
    </row>
    <row r="546" spans="1:5" x14ac:dyDescent="0.2">
      <c r="A546" s="5">
        <v>544</v>
      </c>
      <c r="B546" s="1">
        <v>43138</v>
      </c>
      <c r="C546" t="s">
        <v>29</v>
      </c>
      <c r="D546" t="s">
        <v>181</v>
      </c>
    </row>
    <row r="547" spans="1:5" x14ac:dyDescent="0.2">
      <c r="A547" s="5">
        <v>545</v>
      </c>
      <c r="B547" s="1">
        <v>43138</v>
      </c>
      <c r="C547" t="s">
        <v>29</v>
      </c>
      <c r="D547" t="s">
        <v>182</v>
      </c>
      <c r="E547">
        <v>2.4257257533020026E-4</v>
      </c>
    </row>
    <row r="548" spans="1:5" x14ac:dyDescent="0.2">
      <c r="A548" s="5">
        <v>546</v>
      </c>
      <c r="B548" s="1">
        <v>43138</v>
      </c>
      <c r="C548" t="s">
        <v>49</v>
      </c>
      <c r="D548" t="s">
        <v>39</v>
      </c>
      <c r="E548">
        <v>1.0285062322954761E-4</v>
      </c>
    </row>
    <row r="549" spans="1:5" x14ac:dyDescent="0.2">
      <c r="A549" s="5">
        <v>547</v>
      </c>
      <c r="B549" s="1">
        <v>43138</v>
      </c>
      <c r="C549" t="s">
        <v>49</v>
      </c>
      <c r="D549" t="s">
        <v>32</v>
      </c>
      <c r="E549">
        <v>2.0477980758537542E-3</v>
      </c>
    </row>
    <row r="550" spans="1:5" x14ac:dyDescent="0.2">
      <c r="A550" s="5">
        <v>548</v>
      </c>
      <c r="B550" s="1">
        <v>43138</v>
      </c>
      <c r="C550" t="s">
        <v>49</v>
      </c>
      <c r="D550" t="s">
        <v>30</v>
      </c>
      <c r="E550">
        <v>2.8759540633770841E-4</v>
      </c>
    </row>
    <row r="551" spans="1:5" x14ac:dyDescent="0.2">
      <c r="A551" s="5">
        <v>549</v>
      </c>
      <c r="B551" s="1">
        <v>43138</v>
      </c>
      <c r="C551" t="s">
        <v>49</v>
      </c>
      <c r="D551" t="s">
        <v>47</v>
      </c>
    </row>
    <row r="552" spans="1:5" x14ac:dyDescent="0.2">
      <c r="A552" s="5">
        <v>550</v>
      </c>
      <c r="B552" s="1">
        <v>43138</v>
      </c>
      <c r="C552" t="s">
        <v>49</v>
      </c>
      <c r="D552" t="s">
        <v>141</v>
      </c>
    </row>
    <row r="553" spans="1:5" x14ac:dyDescent="0.2">
      <c r="A553" s="5">
        <v>551</v>
      </c>
      <c r="B553" s="1">
        <v>43138</v>
      </c>
      <c r="C553" t="s">
        <v>49</v>
      </c>
      <c r="D553" t="s">
        <v>205</v>
      </c>
    </row>
    <row r="554" spans="1:5" x14ac:dyDescent="0.2">
      <c r="A554" s="5">
        <v>552</v>
      </c>
      <c r="B554" s="1">
        <v>43138</v>
      </c>
      <c r="C554" t="s">
        <v>49</v>
      </c>
      <c r="D554" t="s">
        <v>164</v>
      </c>
    </row>
    <row r="555" spans="1:5" x14ac:dyDescent="0.2">
      <c r="A555" s="5">
        <v>553</v>
      </c>
      <c r="B555" s="1">
        <v>43138</v>
      </c>
      <c r="C555" t="s">
        <v>49</v>
      </c>
      <c r="D555" t="s">
        <v>68</v>
      </c>
      <c r="E555">
        <v>6.1616999652355773</v>
      </c>
    </row>
    <row r="556" spans="1:5" x14ac:dyDescent="0.2">
      <c r="A556" s="5">
        <v>554</v>
      </c>
      <c r="B556" s="1">
        <v>43138</v>
      </c>
      <c r="C556" t="s">
        <v>49</v>
      </c>
      <c r="D556" t="s">
        <v>177</v>
      </c>
      <c r="E556">
        <v>2.1230709742241461E-3</v>
      </c>
    </row>
    <row r="557" spans="1:5" x14ac:dyDescent="0.2">
      <c r="A557" s="5">
        <v>555</v>
      </c>
      <c r="B557" s="1">
        <v>43138</v>
      </c>
      <c r="C557" t="s">
        <v>49</v>
      </c>
      <c r="D557" t="s">
        <v>178</v>
      </c>
    </row>
    <row r="558" spans="1:5" x14ac:dyDescent="0.2">
      <c r="A558" s="5">
        <v>556</v>
      </c>
      <c r="B558" s="1">
        <v>43138</v>
      </c>
      <c r="C558" t="s">
        <v>49</v>
      </c>
      <c r="D558" t="s">
        <v>179</v>
      </c>
    </row>
    <row r="559" spans="1:5" x14ac:dyDescent="0.2">
      <c r="A559" s="5">
        <v>557</v>
      </c>
      <c r="B559" s="1">
        <v>43138</v>
      </c>
      <c r="C559" t="s">
        <v>49</v>
      </c>
      <c r="D559" t="s">
        <v>180</v>
      </c>
    </row>
    <row r="560" spans="1:5" x14ac:dyDescent="0.2">
      <c r="A560" s="5">
        <v>558</v>
      </c>
      <c r="B560" s="1">
        <v>43138</v>
      </c>
      <c r="C560" t="s">
        <v>49</v>
      </c>
      <c r="D560" t="s">
        <v>181</v>
      </c>
    </row>
    <row r="561" spans="1:5" x14ac:dyDescent="0.2">
      <c r="A561" s="5">
        <v>559</v>
      </c>
      <c r="B561" s="1">
        <v>43138</v>
      </c>
      <c r="C561" t="s">
        <v>49</v>
      </c>
      <c r="D561" t="s">
        <v>182</v>
      </c>
      <c r="E561">
        <v>3.1517313119686411E-4</v>
      </c>
    </row>
    <row r="562" spans="1:5" x14ac:dyDescent="0.2">
      <c r="B562" s="1"/>
    </row>
    <row r="563" spans="1:5" x14ac:dyDescent="0.2">
      <c r="B563" s="1"/>
    </row>
    <row r="564" spans="1:5" x14ac:dyDescent="0.2">
      <c r="B564" s="1"/>
    </row>
    <row r="565" spans="1:5" x14ac:dyDescent="0.2">
      <c r="B565" s="1"/>
    </row>
    <row r="566" spans="1:5" x14ac:dyDescent="0.2">
      <c r="B566" s="1"/>
    </row>
    <row r="567" spans="1:5" x14ac:dyDescent="0.2">
      <c r="B567" s="1"/>
    </row>
    <row r="568" spans="1:5" x14ac:dyDescent="0.2">
      <c r="B568" s="1"/>
    </row>
    <row r="569" spans="1:5" x14ac:dyDescent="0.2">
      <c r="B569" s="1"/>
    </row>
    <row r="570" spans="1:5" x14ac:dyDescent="0.2">
      <c r="B570" s="1"/>
    </row>
    <row r="571" spans="1:5" x14ac:dyDescent="0.2">
      <c r="B571" s="1"/>
    </row>
    <row r="572" spans="1:5" x14ac:dyDescent="0.2">
      <c r="B572" s="1"/>
    </row>
    <row r="573" spans="1:5" x14ac:dyDescent="0.2">
      <c r="B573" s="1"/>
    </row>
    <row r="574" spans="1:5" x14ac:dyDescent="0.2">
      <c r="B574" s="1"/>
    </row>
    <row r="575" spans="1:5" x14ac:dyDescent="0.2">
      <c r="B575" s="1"/>
    </row>
    <row r="576" spans="1:5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2</vt:i4>
      </vt:variant>
    </vt:vector>
  </HeadingPairs>
  <TitlesOfParts>
    <vt:vector size="10" baseType="lpstr">
      <vt:lpstr>Dataset</vt:lpstr>
      <vt:lpstr>Resumen</vt:lpstr>
      <vt:lpstr>retorno absoluto</vt:lpstr>
      <vt:lpstr>credito</vt:lpstr>
      <vt:lpstr>credito latam</vt:lpstr>
      <vt:lpstr>renta fija</vt:lpstr>
      <vt:lpstr>renta variable</vt:lpstr>
      <vt:lpstr>Historical</vt:lpstr>
      <vt:lpstr>'renta fija'!A</vt:lpstr>
      <vt:lpstr>'renta fija'!Print_Area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</dc:creator>
  <cp:lastModifiedBy>Fernando Suarez B.</cp:lastModifiedBy>
  <cp:lastPrinted>2018-03-07T17:55:22Z</cp:lastPrinted>
  <dcterms:created xsi:type="dcterms:W3CDTF">2016-10-26T20:13:43Z</dcterms:created>
  <dcterms:modified xsi:type="dcterms:W3CDTF">2018-03-07T17:55:23Z</dcterms:modified>
</cp:coreProperties>
</file>