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220" yWindow="60" windowWidth="33840" windowHeight="24100" tabRatio="891" activeTab="10"/>
  </bookViews>
  <sheets>
    <sheet name="Instructions" sheetId="6" r:id="rId1"/>
    <sheet name=" Part I -- TV - Primetime" sheetId="1" r:id="rId2"/>
    <sheet name=" Part I -- TV - Fringe" sheetId="8" r:id="rId3"/>
    <sheet name="Part 1 -- TV Late Night " sheetId="27" r:id="rId4"/>
    <sheet name="Part 1 -- TV Daytime " sheetId="28" r:id="rId5"/>
    <sheet name=" Part I -- TV - Cable &amp; Sat" sheetId="11" r:id="rId6"/>
    <sheet name="Radio Drive Time" sheetId="17" r:id="rId7"/>
    <sheet name="Part I -- Print" sheetId="2" r:id="rId8"/>
    <sheet name="Part I - Outdoor" sheetId="19" r:id="rId9"/>
    <sheet name="Part I - Online" sheetId="23" r:id="rId10"/>
    <sheet name=" Part II -- TV A" sheetId="10" r:id="rId11"/>
    <sheet name="Sheet1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BonusLever">[1]媒体!#REF!</definedName>
    <definedName name="EQUIPMENT">[2]辅助资料___设备型号!$A$2:$A$28</definedName>
    <definedName name="format100">[1]媒体!#REF!</definedName>
    <definedName name="format101">[1]媒体!#REF!</definedName>
    <definedName name="format11">[1]媒体!#REF!</definedName>
    <definedName name="format110">[1]媒体!#REF!</definedName>
    <definedName name="format1100">[1]媒体!#REF!</definedName>
    <definedName name="format1101">[1]媒体!#REF!</definedName>
    <definedName name="format1110">[1]媒体!#REF!</definedName>
    <definedName name="format1111">[1]媒体!#REF!</definedName>
    <definedName name="formatavaliable">[1]媒体!#REF!</definedName>
    <definedName name="h_v_page_head">#REF!</definedName>
    <definedName name="KOAH15">[3]Coke!#REF!</definedName>
    <definedName name="KOAH30">[3]Coke!#REF!</definedName>
    <definedName name="KOFJ15">[3]Coke!#REF!</definedName>
    <definedName name="KOFJ30">[3]Coke!#REF!</definedName>
    <definedName name="KOHEB15">[3]Coke!#REF!</definedName>
    <definedName name="KOHEB30">[3]Coke!#REF!</definedName>
    <definedName name="KOHEN15">[3]Coke!#REF!</definedName>
    <definedName name="KOHEN30">[3]Coke!#REF!</definedName>
    <definedName name="KOHLJ15">[3]Coke!#REF!</definedName>
    <definedName name="KOHLJ30">[3]Coke!#REF!</definedName>
    <definedName name="KOHUB15">[3]Coke!#REF!</definedName>
    <definedName name="KOHUB30">[3]Coke!#REF!</definedName>
    <definedName name="KOHUN15">[3]Coke!#REF!</definedName>
    <definedName name="KOHUN30">[3]Coke!#REF!</definedName>
    <definedName name="KOJS15">[3]Coke!#REF!</definedName>
    <definedName name="KOJS30">[3]Coke!#REF!</definedName>
    <definedName name="koln15">[3]Coke!#REF!</definedName>
    <definedName name="koln30">[3]Coke!#REF!</definedName>
    <definedName name="KOSC15">[3]Coke!#REF!</definedName>
    <definedName name="KOSC30">[3]Coke!#REF!</definedName>
    <definedName name="KOSD15">[3]Coke!#REF!</definedName>
    <definedName name="KOSD30">[3]Coke!#REF!</definedName>
    <definedName name="KOSX15">[3]Coke!#REF!</definedName>
    <definedName name="KOSX30">[3]Coke!#REF!</definedName>
    <definedName name="KOTY15">[3]Coke!#REF!</definedName>
    <definedName name="KOTY30">[3]Coke!#REF!</definedName>
    <definedName name="KOZJ15">[3]Coke!#REF!</definedName>
    <definedName name="KOZJ30">[3]Coke!#REF!</definedName>
    <definedName name="lcode">[4]TEMP!$B$1:$B$24</definedName>
    <definedName name="lformat">[4]TEMP!$A$1:$A$24</definedName>
    <definedName name="_xlnm.Print_Titles" localSheetId="1">' Part I -- TV - Primetime'!$1:$15</definedName>
    <definedName name="_xlnm.Print_Titles" localSheetId="10">' Part II -- TV A'!$1:$8</definedName>
    <definedName name="r_city_head">#REF!</definedName>
    <definedName name="r_city_sd">#REF!</definedName>
    <definedName name="r_city_tz">#REF!</definedName>
    <definedName name="v_address">#REF!</definedName>
    <definedName name="v_beizhu">#REF!</definedName>
    <definedName name="v_brand">#REF!</definedName>
    <definedName name="v_company">#REF!</definedName>
    <definedName name="v_discount_total">#REF!</definedName>
    <definedName name="v_dj">#REF!</definedName>
    <definedName name="v_dlyj">#REF!</definedName>
    <definedName name="v_edate">#REF!</definedName>
    <definedName name="v_fb_total">#REF!</definedName>
    <definedName name="v_fkbz">#REF!</definedName>
    <definedName name="v_hth">#REF!</definedName>
    <definedName name="v_Intzdw">#REF!</definedName>
    <definedName name="v_jedx">#REF!</definedName>
    <definedName name="v_jiahao">#REF!</definedName>
    <definedName name="v_page_head">#REF!</definedName>
    <definedName name="v_printdate">#REF!</definedName>
    <definedName name="v_product">#REF!</definedName>
    <definedName name="v_sales">#REF!</definedName>
    <definedName name="v_sdate">#REF!</definedName>
    <definedName name="v_sign_addr">#REF!</definedName>
    <definedName name="v_sign_date">#REF!</definedName>
    <definedName name="v_sq">#REF!</definedName>
    <definedName name="v_yhsm">#REF!</definedName>
    <definedName name="Z_9256B150_EAB2_4612_BB6A_54E594604F46_.wvu.FilterData" hidden="1">#REF!</definedName>
    <definedName name="Z_9256B150_EAB2_4612_BB6A_54E594604F46_.wvu.PrintArea" hidden="1">#REF!</definedName>
    <definedName name="Z_E11DA423_5FBB_4FB8_A3BE_B0A310824E4B_.wvu.FilterData" hidden="1">#REF!</definedName>
    <definedName name="Z_E11DA423_5FBB_4FB8_A3BE_B0A310824E4B_.wvu.PrintArea" hidden="1">#REF!</definedName>
    <definedName name="西安">[5]目录!$A$32:$A$58</definedName>
    <definedName name="规格型号">[6]Sheet1!$C$1:$C$27</definedName>
    <definedName name="资产明细">[5]目录!$A$32:$A$58</definedName>
    <definedName name="阵地类别">[6]Sheet1!$A$1:$A$12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9" l="1"/>
  <c r="J13" i="19"/>
  <c r="E19" i="10"/>
  <c r="E20" i="10"/>
  <c r="E21" i="10"/>
  <c r="E22" i="10"/>
  <c r="E23" i="10"/>
  <c r="E18" i="10"/>
  <c r="F16" i="17"/>
  <c r="F61" i="17"/>
  <c r="J25" i="19"/>
  <c r="J15" i="19"/>
  <c r="J19" i="19"/>
  <c r="J17" i="19"/>
  <c r="D59" i="17"/>
  <c r="F59" i="17"/>
  <c r="F42" i="17"/>
  <c r="J23" i="19"/>
  <c r="C34" i="2"/>
  <c r="C33" i="2"/>
  <c r="J21" i="19"/>
  <c r="C31" i="2"/>
  <c r="C30" i="2"/>
  <c r="D27" i="11"/>
  <c r="F27" i="11"/>
  <c r="D26" i="11"/>
  <c r="F26" i="11"/>
  <c r="D25" i="11"/>
  <c r="F25" i="11"/>
  <c r="D24" i="11"/>
  <c r="F24" i="11"/>
  <c r="B23" i="11"/>
  <c r="D23" i="11"/>
  <c r="F23" i="11"/>
  <c r="B22" i="11"/>
  <c r="D22" i="11"/>
  <c r="F22" i="11"/>
  <c r="B21" i="11"/>
  <c r="D21" i="11"/>
  <c r="F21" i="11"/>
  <c r="B20" i="11"/>
  <c r="D20" i="11"/>
  <c r="F20" i="11"/>
  <c r="D18" i="11"/>
  <c r="F18" i="11"/>
  <c r="D17" i="11"/>
  <c r="F17" i="11"/>
  <c r="D19" i="11"/>
  <c r="D27" i="28"/>
  <c r="F27" i="28"/>
  <c r="D26" i="28"/>
  <c r="F26" i="28"/>
  <c r="D25" i="28"/>
  <c r="F25" i="28"/>
  <c r="D24" i="28"/>
  <c r="F24" i="28"/>
  <c r="D23" i="28"/>
  <c r="F23" i="28"/>
  <c r="D22" i="28"/>
  <c r="F22" i="28"/>
  <c r="D21" i="28"/>
  <c r="F21" i="28"/>
  <c r="D20" i="28"/>
  <c r="F20" i="28"/>
  <c r="B19" i="28"/>
  <c r="D19" i="28"/>
  <c r="F19" i="28"/>
  <c r="B18" i="28"/>
  <c r="D18" i="28"/>
  <c r="F18" i="28"/>
  <c r="D27" i="27"/>
  <c r="F27" i="27"/>
  <c r="D26" i="27"/>
  <c r="F26" i="27"/>
  <c r="D25" i="27"/>
  <c r="F25" i="27"/>
  <c r="D24" i="27"/>
  <c r="F24" i="27"/>
  <c r="D23" i="27"/>
  <c r="F23" i="27"/>
  <c r="D22" i="27"/>
  <c r="F22" i="27"/>
  <c r="D21" i="27"/>
  <c r="F21" i="27"/>
  <c r="D20" i="27"/>
  <c r="F20" i="27"/>
  <c r="D19" i="27"/>
  <c r="F19" i="27"/>
  <c r="D18" i="27"/>
  <c r="F18" i="27"/>
  <c r="F17" i="27"/>
  <c r="F16" i="27"/>
  <c r="F19" i="11"/>
  <c r="C27" i="28"/>
  <c r="C26" i="28"/>
  <c r="B25" i="28"/>
  <c r="C25" i="28"/>
  <c r="B24" i="28"/>
  <c r="C24" i="28"/>
  <c r="C23" i="28"/>
  <c r="C22" i="28"/>
  <c r="C21" i="28"/>
  <c r="C20" i="28"/>
  <c r="C27" i="27"/>
  <c r="C26" i="27"/>
  <c r="B25" i="27"/>
  <c r="C25" i="27"/>
  <c r="B24" i="27"/>
  <c r="C24" i="27"/>
  <c r="C23" i="27"/>
  <c r="C22" i="27"/>
  <c r="C21" i="27"/>
  <c r="C20" i="27"/>
  <c r="C17" i="27"/>
  <c r="C16" i="27"/>
  <c r="D28" i="8"/>
  <c r="F28" i="8"/>
  <c r="D27" i="8"/>
  <c r="F27" i="8"/>
  <c r="D26" i="8"/>
  <c r="F26" i="8"/>
  <c r="D25" i="8"/>
  <c r="F25" i="8"/>
  <c r="D24" i="8"/>
  <c r="F24" i="8"/>
  <c r="D23" i="8"/>
  <c r="F23" i="8"/>
  <c r="D22" i="8"/>
  <c r="F22" i="8"/>
  <c r="D21" i="8"/>
  <c r="F21" i="8"/>
  <c r="F18" i="8"/>
  <c r="F17" i="8"/>
  <c r="C28" i="8"/>
  <c r="C27" i="8"/>
  <c r="B26" i="8"/>
  <c r="C26" i="8"/>
  <c r="B25" i="8"/>
  <c r="C25" i="8"/>
  <c r="C24" i="8"/>
  <c r="C23" i="8"/>
  <c r="C22" i="8"/>
  <c r="C21" i="8"/>
  <c r="B20" i="8"/>
  <c r="D20" i="8"/>
  <c r="F20" i="8"/>
  <c r="B19" i="8"/>
  <c r="D19" i="8"/>
  <c r="F19" i="8"/>
  <c r="C18" i="8"/>
  <c r="C17" i="8"/>
  <c r="F27" i="1"/>
  <c r="D26" i="1"/>
  <c r="F26" i="1"/>
  <c r="D25" i="1"/>
  <c r="F25" i="1"/>
  <c r="D24" i="1"/>
  <c r="F24" i="1"/>
  <c r="D23" i="1"/>
  <c r="F23" i="1"/>
  <c r="D22" i="1"/>
  <c r="F22" i="1"/>
  <c r="D21" i="1"/>
  <c r="F21" i="1"/>
  <c r="D20" i="1"/>
  <c r="F20" i="1"/>
  <c r="F17" i="1"/>
  <c r="F16" i="1"/>
  <c r="D18" i="1"/>
  <c r="F18" i="1"/>
  <c r="C27" i="1"/>
  <c r="C26" i="1"/>
  <c r="B25" i="1"/>
  <c r="C25" i="1"/>
  <c r="B24" i="1"/>
  <c r="C24" i="1"/>
  <c r="C23" i="1"/>
  <c r="C22" i="1"/>
  <c r="C21" i="1"/>
  <c r="C20" i="1"/>
  <c r="B19" i="1"/>
  <c r="D19" i="1"/>
  <c r="F19" i="1"/>
  <c r="C17" i="1"/>
  <c r="C16" i="1"/>
  <c r="D38" i="23"/>
  <c r="L23" i="19"/>
  <c r="L25" i="19"/>
  <c r="L21" i="19"/>
  <c r="L27" i="19"/>
  <c r="L19" i="19"/>
  <c r="L17" i="19"/>
  <c r="L15" i="19"/>
  <c r="L13" i="19"/>
  <c r="C16" i="28"/>
  <c r="F16" i="28"/>
</calcChain>
</file>

<file path=xl/sharedStrings.xml><?xml version="1.0" encoding="utf-8"?>
<sst xmlns="http://schemas.openxmlformats.org/spreadsheetml/2006/main" count="662" uniqueCount="371">
  <si>
    <t>MEDIA AGENCY REVIEW BRIEF</t>
  </si>
  <si>
    <t>MEDIA BUYING EXERCISE</t>
  </si>
  <si>
    <t>Media Buying Exercise Overview</t>
  </si>
  <si>
    <t xml:space="preserve">- The purpose of the following assignment is to assess your agency’s capabilities in purchasing media at favorable pricing.  </t>
  </si>
  <si>
    <r>
      <t xml:space="preserve">-    </t>
    </r>
    <r>
      <rPr>
        <sz val="10"/>
        <rFont val="Tahoma"/>
        <family val="2"/>
      </rPr>
      <t>Please note the costs you provide should reflect existing rates (net), specifically, those rates your agency is currently using with existing clients.</t>
    </r>
  </si>
  <si>
    <r>
      <t xml:space="preserve">-    </t>
    </r>
    <r>
      <rPr>
        <sz val="10"/>
        <rFont val="Tahoma"/>
        <family val="2"/>
      </rPr>
      <t xml:space="preserve">Magazine and Newspaper discounts should reflect discounts you could secure on behalf of The Coca-Cola Company.  </t>
    </r>
  </si>
  <si>
    <t xml:space="preserve">- The rates you submit should include all discounts. </t>
  </si>
  <si>
    <t>- If awarded the The Coca-Cola Company assignment, you will be expected to achieve the quoted pricing.  Please do not provide rates you will not be able to guarantee.</t>
  </si>
  <si>
    <t>- All cost information provided to The Coca-Cola Company will be held in the strictest confidence.</t>
  </si>
  <si>
    <t xml:space="preserve">Media Buying Exercise Details </t>
  </si>
  <si>
    <t xml:space="preserve">Part I - TV Details </t>
  </si>
  <si>
    <t>- Please provide requested information in attached Excel spreadsheets.</t>
  </si>
  <si>
    <t>- Please provide current rates (net).</t>
  </si>
  <si>
    <t>- Please provide rates based on 30-second equivalent.</t>
  </si>
  <si>
    <r>
      <t>-</t>
    </r>
    <r>
      <rPr>
        <sz val="7"/>
        <rFont val="Times New Roman"/>
        <family val="1"/>
      </rPr>
      <t>  </t>
    </r>
    <r>
      <rPr>
        <sz val="10"/>
        <rFont val="Tahoma"/>
        <family val="2"/>
      </rPr>
      <t>Do not include billboards, or other added value, as part of rates.</t>
    </r>
  </si>
  <si>
    <r>
      <t>-</t>
    </r>
    <r>
      <rPr>
        <sz val="7"/>
        <rFont val="Times New Roman"/>
        <family val="1"/>
      </rPr>
      <t>  </t>
    </r>
    <r>
      <rPr>
        <sz val="10"/>
        <rFont val="Tahoma"/>
        <family val="2"/>
      </rPr>
      <t>For print analysis, you can include bonus pages / ad space as part of your discounted rate.  For the purpose of this analysis, we are requesting that you provide by magazine if the rates reflect any negotiated bonus space.</t>
    </r>
  </si>
  <si>
    <t>- Total Outdoor budgets are provided in worksheet by unit</t>
  </si>
  <si>
    <t>- All fields are expected to be filled-in, however "NA" can be accepted if not applicable to specific market.</t>
  </si>
  <si>
    <t>- For "Specifications for each unit", KO refers to Top 10% of total market inventory of each OOH type for "Top route/location/downtown"</t>
  </si>
  <si>
    <t xml:space="preserve">- Please fill-in ONLY quantity for OOH types other than Bus shelter and bus bodies </t>
  </si>
  <si>
    <t>- Do put elaborations for "Any Other Benefits"</t>
  </si>
  <si>
    <t>- Based on the Online formats provided, please provide net negotiated rates</t>
  </si>
  <si>
    <t>A - Evaluation based on 1 week of activity</t>
  </si>
  <si>
    <t>-  Please specify time period</t>
  </si>
  <si>
    <t>-  Please submit inflation estimate for upcoming year</t>
  </si>
  <si>
    <t>MEDIA BUYING EXERCISE:  Part I -- TV Primetime</t>
  </si>
  <si>
    <t>Please provide in local currency</t>
  </si>
  <si>
    <t>Agency:</t>
  </si>
  <si>
    <t>Market:</t>
  </si>
  <si>
    <t>Target:</t>
  </si>
  <si>
    <t>Time Period</t>
  </si>
  <si>
    <t>Media:</t>
  </si>
  <si>
    <t>TV</t>
  </si>
  <si>
    <t>Daypart:</t>
  </si>
  <si>
    <t xml:space="preserve">Primetime </t>
  </si>
  <si>
    <t>Details:</t>
  </si>
  <si>
    <t>Current Rates</t>
  </si>
  <si>
    <t>Channel / Program</t>
  </si>
  <si>
    <t>Current Published Rate Card</t>
  </si>
  <si>
    <t>Agency Discount</t>
  </si>
  <si>
    <t>Net Rate</t>
  </si>
  <si>
    <t>Agency Commission</t>
  </si>
  <si>
    <t>Cost to Client</t>
  </si>
  <si>
    <t>Added Value %</t>
  </si>
  <si>
    <t>Comments</t>
  </si>
  <si>
    <t>MEDIA BUYING EXERCISE:  Part I -- TV - Fringe</t>
  </si>
  <si>
    <t xml:space="preserve">Fringe </t>
  </si>
  <si>
    <t xml:space="preserve"> </t>
  </si>
  <si>
    <t>MEDIA BUYING EXERCISE:  Part I -- TV Late Night</t>
  </si>
  <si>
    <t xml:space="preserve">Time Period: </t>
  </si>
  <si>
    <t>Late Night</t>
  </si>
  <si>
    <t>MEDIA BUYING EXERCISE:  Part I -- TV Day Time</t>
  </si>
  <si>
    <t>Daytime</t>
  </si>
  <si>
    <t>MEDIA BUYING EXERCISE:  Part I -- TV - Cable &amp; Satellite</t>
  </si>
  <si>
    <t>Cable &amp; Satellite</t>
  </si>
  <si>
    <t>Primetime</t>
  </si>
  <si>
    <t>MEDIA BUYING EXERCISE:  Radio Drive Time</t>
  </si>
  <si>
    <t>Drive Time</t>
  </si>
  <si>
    <t>7 - 9am &amp; 5 - 7 pm</t>
  </si>
  <si>
    <t>Channel / Network</t>
  </si>
  <si>
    <t>MEDIA BUYING EXERCISE:  Part I -- Print</t>
  </si>
  <si>
    <t>Print</t>
  </si>
  <si>
    <t># Insertions &amp; Rates</t>
  </si>
  <si>
    <t># Insertions</t>
  </si>
  <si>
    <t>Current Published Open Rate Card            (Page 4 Color Bleed)</t>
  </si>
  <si>
    <t>Earned Frequency Discount % Off Rate Card</t>
  </si>
  <si>
    <t>Negotiated Discount % Off Earned Frequency Rate</t>
  </si>
  <si>
    <t>Bonus Page(s) Negotiated</t>
  </si>
  <si>
    <t>MEDIA BUYING EXERCISE: Part I -- Outdoor Details</t>
  </si>
  <si>
    <t>Instructions:</t>
  </si>
  <si>
    <t>All related costs or values in this sheet are in Local currency (XXX) terms.</t>
  </si>
  <si>
    <t>All fields are expected to be filled-in, however "NA" can be accepted if not applicable to specific market.</t>
  </si>
  <si>
    <t>For "Specifications for each unit", KO refers to Top 10% of total market inventory of each OOH type for "Top route/location/downtown"</t>
  </si>
  <si>
    <t xml:space="preserve">Please fill-in ONLY quantity for OOH types other than Bus shelter and bus bodies </t>
  </si>
  <si>
    <t>Please note if there is any Added Value</t>
  </si>
  <si>
    <t>Items</t>
  </si>
  <si>
    <t xml:space="preserve">Annual </t>
  </si>
  <si>
    <t>Specifications*</t>
  </si>
  <si>
    <t>Period</t>
  </si>
  <si>
    <t>Vendor</t>
  </si>
  <si>
    <t>Ratecard</t>
  </si>
  <si>
    <t>Discount</t>
  </si>
  <si>
    <t>Package Cost</t>
  </si>
  <si>
    <t xml:space="preserve">Production </t>
  </si>
  <si>
    <t>Total Charge</t>
  </si>
  <si>
    <t>Added Value</t>
  </si>
  <si>
    <t>Type</t>
  </si>
  <si>
    <t>Budget</t>
  </si>
  <si>
    <t>of Each Unit</t>
  </si>
  <si>
    <t>Name</t>
  </si>
  <si>
    <t>Version</t>
  </si>
  <si>
    <t>%</t>
  </si>
  <si>
    <t>Quantity</t>
  </si>
  <si>
    <t>Net</t>
  </si>
  <si>
    <t xml:space="preserve">Cost for Package </t>
  </si>
  <si>
    <t>Value</t>
  </si>
  <si>
    <t>Condition</t>
  </si>
  <si>
    <t>1 month</t>
  </si>
  <si>
    <t>MEDIA BUYING EXERCISE:  Part I -- Online</t>
  </si>
  <si>
    <t>Online</t>
  </si>
  <si>
    <r>
      <t xml:space="preserve">Rates for  display  must be expressed as </t>
    </r>
    <r>
      <rPr>
        <b/>
        <i/>
        <sz val="12"/>
        <color rgb="FF000000"/>
        <rFont val="Calibri"/>
        <family val="2"/>
      </rPr>
      <t xml:space="preserve">net </t>
    </r>
    <r>
      <rPr>
        <b/>
        <i/>
        <u/>
        <sz val="12"/>
        <color rgb="FF000000"/>
        <rFont val="Calibri"/>
        <family val="2"/>
      </rPr>
      <t xml:space="preserve">negotiated </t>
    </r>
    <r>
      <rPr>
        <b/>
        <i/>
        <sz val="12"/>
        <color rgb="FF000000"/>
        <rFont val="Calibri"/>
        <family val="2"/>
      </rPr>
      <t>CPMs</t>
    </r>
  </si>
  <si>
    <t>Site</t>
  </si>
  <si>
    <t>Location</t>
  </si>
  <si>
    <t>Format</t>
  </si>
  <si>
    <t>Dimensions</t>
  </si>
  <si>
    <t>Cost Model</t>
  </si>
  <si>
    <t>Impressions</t>
  </si>
  <si>
    <t>Guaranteed Negotiated Rate</t>
  </si>
  <si>
    <t>Skyscraper</t>
  </si>
  <si>
    <t>CPM</t>
  </si>
  <si>
    <t>MEDIA BUYING EXERCISE:  Part II -- TV A</t>
  </si>
  <si>
    <t>Part II -- TV Details A</t>
  </si>
  <si>
    <t>REACH BASED PLAN (Agency to identify programming)</t>
  </si>
  <si>
    <t>Please optimize the plan ensure appropriate quality of programming with balance between efficiency and quality</t>
  </si>
  <si>
    <t xml:space="preserve">Budget: </t>
  </si>
  <si>
    <t>Agency to Determine</t>
  </si>
  <si>
    <r>
      <t xml:space="preserve">Determine minimum budget by market &amp; channel based on 1-week campaign in all markets with </t>
    </r>
    <r>
      <rPr>
        <b/>
        <sz val="10"/>
        <color rgb="FFFF0000"/>
        <rFont val="Tahoma"/>
        <family val="2"/>
      </rPr>
      <t>1+/50%</t>
    </r>
    <r>
      <rPr>
        <b/>
        <sz val="10"/>
        <rFont val="Tahoma"/>
        <family val="2"/>
      </rPr>
      <t xml:space="preserve"> weekly reach based on target above</t>
    </r>
  </si>
  <si>
    <t>Channel / Network*</t>
  </si>
  <si>
    <t>Weekly GRPs 
(30" equivalent)</t>
  </si>
  <si>
    <t>% Split per Channel</t>
  </si>
  <si>
    <t>Total Budget ($000)</t>
  </si>
  <si>
    <t>CPP</t>
  </si>
  <si>
    <t>Position in Break</t>
  </si>
  <si>
    <t>Inflation Estimate for next year</t>
  </si>
  <si>
    <t>*Agency to decide list of relevant channels and recommend accordingly. Agency does not need to use all the above channels mentioned</t>
  </si>
  <si>
    <t>12-18 años</t>
  </si>
  <si>
    <t>Enero - Junio 2014</t>
  </si>
  <si>
    <t>6 - 11pm</t>
  </si>
  <si>
    <t>GAMA / TNV. LO QUE LA VIDA ME ROBO</t>
  </si>
  <si>
    <t>RTS / COMBATE</t>
  </si>
  <si>
    <t>TELEMAZONAS /CINE EN FAMILIA (S-D)</t>
  </si>
  <si>
    <t>CANAL 1/ FESTIVAL DE JACKIE CHAN (S-D)</t>
  </si>
  <si>
    <t>ECUAVISA/ ECUADOR TIENE TALENTO 3T (S-D)</t>
  </si>
  <si>
    <t>1 -  6 pm</t>
  </si>
  <si>
    <t>CANAL 1 /NOTICIERO UNO MEDIODIA</t>
  </si>
  <si>
    <t>TELEAMAZONAS / CINE EN CASA (S-D)}</t>
  </si>
  <si>
    <t>ECUAVISA / LARGOMETRAJE (S-D)</t>
  </si>
  <si>
    <t>GAMA / ESPECIAL: LA MAL QUERIDA II</t>
  </si>
  <si>
    <t>RTS / SUPER MODELO AMERICANA II</t>
  </si>
  <si>
    <t>TC TV / JESSIE II (S-D)</t>
  </si>
  <si>
    <t>CANAL 1 /BAILA LA NOCHE 3 T.</t>
  </si>
  <si>
    <t>23 - 24 pm</t>
  </si>
  <si>
    <t>ECUAVISA / VISION 360 (S-D)</t>
  </si>
  <si>
    <t>GAMA / TNV. LA ROSA DE GUADALUPE II</t>
  </si>
  <si>
    <t>RTS / COPA II</t>
  </si>
  <si>
    <t>TC TV  / ANT FARM (R) (S-D)</t>
  </si>
  <si>
    <t>TELEAMAZONAS / UFC 177 (S-D)</t>
  </si>
  <si>
    <t>CANAL 1 / MAZINGER Z I (S-D)</t>
  </si>
  <si>
    <t>ECUAVISA / EN CONTACTO (RESUMEN) (S-D)</t>
  </si>
  <si>
    <t>GAMA / COMO DICE EL DICHO III</t>
  </si>
  <si>
    <t>RTS / TNV. LA MUJER DE JUDAS</t>
  </si>
  <si>
    <t>TC TV / RECREO DISNEY I (S-D)</t>
  </si>
  <si>
    <t>TELEAMAZONAS /RAW I (S-D)</t>
  </si>
  <si>
    <t>6am -13 pm</t>
  </si>
  <si>
    <t xml:space="preserve">Paraderos Metrovia </t>
  </si>
  <si>
    <t>Bus posterior Metrovia Gye</t>
  </si>
  <si>
    <t>Bus completo Uio</t>
  </si>
  <si>
    <t>Pantalla Valle de los Chillos Uio</t>
  </si>
  <si>
    <t xml:space="preserve">Vallas </t>
  </si>
  <si>
    <t>Paraderos Gye</t>
  </si>
  <si>
    <t xml:space="preserve">RADIO EXA FM (QUITO)                                                                                                                                                                                    </t>
  </si>
  <si>
    <t xml:space="preserve">RADIO RUMBA FM GYE                                                                                                                                                                                      </t>
  </si>
  <si>
    <t xml:space="preserve">RADIO PUNTO ROJO F.M.                                                                                                                                                                                   </t>
  </si>
  <si>
    <t xml:space="preserve">ONDA CERO (QUITO)                                                                                                                                                                                       </t>
  </si>
  <si>
    <t xml:space="preserve">MAS CANDELA                                                                                                                                                                                             </t>
  </si>
  <si>
    <t xml:space="preserve">RADIO LA OTRA GQUIL                                                                                                                                                                                     </t>
  </si>
  <si>
    <t xml:space="preserve">RADIO CANELA GQUIL                                                                                                                                                                                      </t>
  </si>
  <si>
    <t xml:space="preserve">RADIO LA OTRA QTO                                                                                                                                                                                       </t>
  </si>
  <si>
    <t xml:space="preserve">RADIO DISNEY                                                                                                                                                                                            </t>
  </si>
  <si>
    <t xml:space="preserve">RADIO CENTRO QUITO                                                                                                                                                                                      </t>
  </si>
  <si>
    <t xml:space="preserve">RADIO JC LA BRUJA                                                                                                                                                                                       </t>
  </si>
  <si>
    <t xml:space="preserve">RADIO AMERICA QUITO                                                                                                                                                                                     </t>
  </si>
  <si>
    <t xml:space="preserve">RADIO LA METRO                                                                                                                                                                                          </t>
  </si>
  <si>
    <t xml:space="preserve">JOYA STEREO                                                                                                                                                                                             </t>
  </si>
  <si>
    <t xml:space="preserve">RADIO ALFA F.M.                                                                                                                                                                                         </t>
  </si>
  <si>
    <t xml:space="preserve">RADIO FABU FM                                                                                                                                                                                           </t>
  </si>
  <si>
    <t xml:space="preserve">RADIO GALAXIA                                                                                                                                                                                           </t>
  </si>
  <si>
    <t xml:space="preserve">RADIO ANTENA 3                                                                                                                                                                                          </t>
  </si>
  <si>
    <t xml:space="preserve">REVISTA COSAS           </t>
  </si>
  <si>
    <t xml:space="preserve">VISTAZO        </t>
  </si>
  <si>
    <t xml:space="preserve">ESTADIO  </t>
  </si>
  <si>
    <t xml:space="preserve">REVISTA VANIDADES   </t>
  </si>
  <si>
    <t xml:space="preserve">HOGAR </t>
  </si>
  <si>
    <t xml:space="preserve">GENERACION  XXI      </t>
  </si>
  <si>
    <t xml:space="preserve">REVISTA CARAS     </t>
  </si>
  <si>
    <t xml:space="preserve">REVISTA MAXI    </t>
  </si>
  <si>
    <t xml:space="preserve">EL EXTRA </t>
  </si>
  <si>
    <t xml:space="preserve">EL EXPRESO            </t>
  </si>
  <si>
    <t>CANAL 1/ LA PANTERA ROSA III</t>
  </si>
  <si>
    <t>CANAL 1 /LA PANTERA ROSA I (S-D)</t>
  </si>
  <si>
    <t>CANAL 1 /'DE CAMPEONATO III</t>
  </si>
  <si>
    <t>CANAL 1 / HOLA MAURICIO (S-D)</t>
  </si>
  <si>
    <t>ECUAVISA/ TNV. CUENTO ENCANTADO</t>
  </si>
  <si>
    <t>ECUAVISA / MORTIFIED</t>
  </si>
  <si>
    <t>ECUAVISA / CODIGO DEPORTIVO (S-D)</t>
  </si>
  <si>
    <t>ECUAVISA / AMERICA VIVE III (S-D)</t>
  </si>
  <si>
    <t>GAMA / TNV. LA ROSA DE GUADALUPE (S-D</t>
  </si>
  <si>
    <t>GAMA / TNV. LA GATA</t>
  </si>
  <si>
    <t>GAMA / TE TOMASTE LA NOCHE</t>
  </si>
  <si>
    <t>GAMA / EL CHAVO ANIMADO II</t>
  </si>
  <si>
    <t>RTS / NOCHES DEL OSCAR (S)</t>
  </si>
  <si>
    <t>RTS / EXTRANORMAL DE IMPACTO (S-D)</t>
  </si>
  <si>
    <t>RTS / LA NOTICIA II</t>
  </si>
  <si>
    <t>RTS / LOS PADRINOS MAGICOS (S-D)</t>
  </si>
  <si>
    <t>TC TV / ANT FARM (S-D)</t>
  </si>
  <si>
    <t>TC TV  / ZACK Y CODY III (S-D)</t>
  </si>
  <si>
    <t>TC TV / TIMON Y PUMBA (S-D)</t>
  </si>
  <si>
    <t>TELEMAZONAS /YO ME LLAMO LA REVANCHA</t>
  </si>
  <si>
    <t>TELEAMAZONAS /SUPERSTARS I (S-D)</t>
  </si>
  <si>
    <t>TELEAMAZONAS / EN CORTO (D)</t>
  </si>
  <si>
    <t>TELEAMAZONAS /SUPERNICK (S-D)</t>
  </si>
  <si>
    <t>8 x 4 / 10 X 4 / 9 X4</t>
  </si>
  <si>
    <t>4 X 1 / 2 X 1</t>
  </si>
  <si>
    <t>2 X 1</t>
  </si>
  <si>
    <t>1.42 x 2.20 / 3.05 x 2.20</t>
  </si>
  <si>
    <t>1,21 x 1,77</t>
  </si>
  <si>
    <t>Pantallas Terminal Terreste Gye</t>
  </si>
  <si>
    <t>HD  1920x764</t>
  </si>
  <si>
    <t>HD 1920x704</t>
  </si>
  <si>
    <t xml:space="preserve">RADIO ESTRELLA FM GQUIL                                                                                                                                                                                 </t>
  </si>
  <si>
    <t xml:space="preserve">RADIO ROMANCE FM                                                                                                                                                                                        </t>
  </si>
  <si>
    <t xml:space="preserve">RADIO CARAVANA  AM GYE                                                                                                                                                                                  </t>
  </si>
  <si>
    <t xml:space="preserve">RADIO CUPIDO 95,3 FM                                                                                                                                                                                    </t>
  </si>
  <si>
    <t xml:space="preserve">RADIO FLUMINENSE                                                                                                                                                                                        </t>
  </si>
  <si>
    <t xml:space="preserve">FOREVER MUSIC                                                                                                                                                                                           </t>
  </si>
  <si>
    <t xml:space="preserve">RADIO BANDIDA 89.7 FM                                                                                                                                                                                   </t>
  </si>
  <si>
    <t xml:space="preserve">RADIO CANELA CUENCA                                                                                                                                                                                     </t>
  </si>
  <si>
    <t xml:space="preserve">RADIO CANELA MACHALA.                                                                                                                                                                                   </t>
  </si>
  <si>
    <t xml:space="preserve">RADIO MAS CANDELA (QTO)                                                                                                                                                                                 </t>
  </si>
  <si>
    <t xml:space="preserve">RADIO C.R.E                                                                                                                                                                                             </t>
  </si>
  <si>
    <t xml:space="preserve">ONDA POSITIVA F.M.                                                                                                                                                                                      </t>
  </si>
  <si>
    <t xml:space="preserve">RADIO CANELA QUITO 106.5                                                                                                                                                                                </t>
  </si>
  <si>
    <t xml:space="preserve">RADIO ARMONICA (QUITO)                                                                                                                                                                                  </t>
  </si>
  <si>
    <t xml:space="preserve">RADIO SON DE MANTA FM                                                                                                                                                                                   </t>
  </si>
  <si>
    <t xml:space="preserve">RADIO VISION                                                                                                                                                                                            </t>
  </si>
  <si>
    <t xml:space="preserve">MAJESTAD FM.                                                                                                                                                                                            </t>
  </si>
  <si>
    <t xml:space="preserve">RADIO GITANA 94.9 FM                                                                                                                                                                                    </t>
  </si>
  <si>
    <t xml:space="preserve">RADIO SUCRE GYE 700 AM                                                                                                                                                                                  </t>
  </si>
  <si>
    <t xml:space="preserve">RADIO K1                                                                                                                                                                                                </t>
  </si>
  <si>
    <t xml:space="preserve">RADIO FRANCISCO STEREO.                                                                                                                                                                                 </t>
  </si>
  <si>
    <t xml:space="preserve">LA RED                                                                                                                                                                                                  </t>
  </si>
  <si>
    <t xml:space="preserve">SUPER K 800                                                                                                                                                                                             </t>
  </si>
  <si>
    <t xml:space="preserve">RADIO FUEGO                                                                                                                                                                                             </t>
  </si>
  <si>
    <t xml:space="preserve">WQ RADIO 102.1 FM                                                                                                                                                                                       </t>
  </si>
  <si>
    <t xml:space="preserve">AMERICA GQUIL                                                                                                                                                                                           </t>
  </si>
  <si>
    <t xml:space="preserve">RADIO SONORAMA                                                                                                                                                                                          </t>
  </si>
  <si>
    <t xml:space="preserve">MACH DEPORTES                                                                                                                                                                                           </t>
  </si>
  <si>
    <t xml:space="preserve">RADIO VOX FM                                                                                                                                                                                            </t>
  </si>
  <si>
    <t xml:space="preserve">RADIO ECUASHYRI                                                                                                                                                                                         </t>
  </si>
  <si>
    <t xml:space="preserve">RADIO MODELO 97.7 FM                                                                                                                                                                                    </t>
  </si>
  <si>
    <t xml:space="preserve">RADIO PUBLICA                                                                                                                                                                                           </t>
  </si>
  <si>
    <t xml:space="preserve">ZARACAY  F.M                                                                                                                                                                                            </t>
  </si>
  <si>
    <t xml:space="preserve">RADIO SUCESOS                                                                                                                                                                                           </t>
  </si>
  <si>
    <t xml:space="preserve">RADIO RUMBA DEPORTIVA QT                                                                                                                                                                                </t>
  </si>
  <si>
    <t xml:space="preserve">TROPICALIDA                                                                                                                                                                                             </t>
  </si>
  <si>
    <t xml:space="preserve">RADIO 99.3 FM DEPORTIVA                                                                                                                                                                                 </t>
  </si>
  <si>
    <t>RADICAL MAG</t>
  </si>
  <si>
    <t>REVISTA MARIELA</t>
  </si>
  <si>
    <t xml:space="preserve">METRO HOY   </t>
  </si>
  <si>
    <t xml:space="preserve">EL COMERCIO    </t>
  </si>
  <si>
    <t xml:space="preserve">EL UNIVERSO </t>
  </si>
  <si>
    <t>DIARIO EL HOY</t>
  </si>
  <si>
    <t>TC TV / APUESTO POR TI</t>
  </si>
  <si>
    <t>TC TV /BUENA SUERTE CHARLIE</t>
  </si>
  <si>
    <t xml:space="preserve">FOX / LOS SIMPSON D    </t>
  </si>
  <si>
    <t>FOX SPORT / CENTRAL DEPORTIVO</t>
  </si>
  <si>
    <t>TNT  / PELICULA PRIME</t>
  </si>
  <si>
    <t xml:space="preserve">DISCOVERY   / A PRUEBA DE TODO    </t>
  </si>
  <si>
    <t xml:space="preserve">DISCOVERY / SALAS DE EMERGENCIAS     </t>
  </si>
  <si>
    <t>TNT / HOLLYWOOD ONE &amp; ONE</t>
  </si>
  <si>
    <t>FOX / MODERN FAMILY</t>
  </si>
  <si>
    <t>FX / FAMILY GUY</t>
  </si>
  <si>
    <t>FX / BONES</t>
  </si>
  <si>
    <t>WARNER CHANNEL / TWO &amp; HALF MEN</t>
  </si>
  <si>
    <t>WARNER CHANNEL  / THE BIG BANG THEORY</t>
  </si>
  <si>
    <t xml:space="preserve">RADIO DIBLU                                                                                                                                                                                                   </t>
  </si>
  <si>
    <t xml:space="preserve">RADIO ACTIVA FM 88 CUENCA                                                                                                                                                                                     </t>
  </si>
  <si>
    <t>REVISTA PIXART</t>
  </si>
  <si>
    <t>LA FAMILIA</t>
  </si>
  <si>
    <t>LA REVISTA</t>
  </si>
  <si>
    <t>Ecuagol.com</t>
  </si>
  <si>
    <t>ROS</t>
  </si>
  <si>
    <t>728x90</t>
  </si>
  <si>
    <t>Leaderboard</t>
  </si>
  <si>
    <t>Red Viacom (MTV, Nickelondeon, VH1)</t>
  </si>
  <si>
    <t>ROS and Age Targeted</t>
  </si>
  <si>
    <t>Square</t>
  </si>
  <si>
    <t>300x250</t>
  </si>
  <si>
    <t>160x600</t>
  </si>
  <si>
    <t>Preroll</t>
  </si>
  <si>
    <t>CPV</t>
  </si>
  <si>
    <t>Full Page Layer</t>
  </si>
  <si>
    <t>800X600</t>
  </si>
  <si>
    <t>TakeOver</t>
  </si>
  <si>
    <t>728x90+300x250</t>
  </si>
  <si>
    <t>Facebook</t>
  </si>
  <si>
    <t>Domain AD</t>
  </si>
  <si>
    <t>100x72</t>
  </si>
  <si>
    <t>Page Post AD</t>
  </si>
  <si>
    <t xml:space="preserve">1200 x 627 </t>
  </si>
  <si>
    <t>470 x 420</t>
  </si>
  <si>
    <t>APP  AD</t>
  </si>
  <si>
    <t>Age Targeted</t>
  </si>
  <si>
    <t>Twitter</t>
  </si>
  <si>
    <t>Preference Target</t>
  </si>
  <si>
    <t>Promoted Tweets</t>
  </si>
  <si>
    <t>Lineacero</t>
  </si>
  <si>
    <t>batanga.com</t>
  </si>
  <si>
    <t>Skype - MSN</t>
  </si>
  <si>
    <t xml:space="preserve">Part I - Print Details </t>
  </si>
  <si>
    <t xml:space="preserve">Part I - Outdoor Details </t>
  </si>
  <si>
    <t xml:space="preserve">Part I - Online Details </t>
  </si>
  <si>
    <t xml:space="preserve">Part II - TV Details </t>
  </si>
  <si>
    <r>
      <t>-  Determine minimum bud</t>
    </r>
    <r>
      <rPr>
        <sz val="10"/>
        <color theme="1"/>
        <rFont val="Tahoma"/>
        <family val="2"/>
      </rPr>
      <t>get by market &amp;</t>
    </r>
    <r>
      <rPr>
        <sz val="10"/>
        <rFont val="Tahoma"/>
        <family val="2"/>
      </rPr>
      <t xml:space="preserve"> channel based on 1-week campaign in all markets with </t>
    </r>
    <r>
      <rPr>
        <b/>
        <sz val="10"/>
        <color rgb="FFFF0000"/>
        <rFont val="Tahoma"/>
        <family val="2"/>
      </rPr>
      <t>1+/50%</t>
    </r>
    <r>
      <rPr>
        <sz val="10"/>
        <rFont val="Tahoma"/>
        <family val="2"/>
      </rPr>
      <t xml:space="preserve"> weekly reach based on target </t>
    </r>
    <r>
      <rPr>
        <b/>
        <sz val="10"/>
        <color rgb="FFFF0000"/>
        <rFont val="Tahoma"/>
        <family val="2"/>
      </rPr>
      <t>Teens (12 to 18)</t>
    </r>
  </si>
  <si>
    <t>Ecuador</t>
  </si>
  <si>
    <t>Programa transmitido en los feriados de semana santa y 1 de mayo. Se coloca tarifa de enero del horario en que se transmitió (10:51 - De Casa en Casa)</t>
  </si>
  <si>
    <t>MARKPLAN / STARCOM</t>
  </si>
  <si>
    <t>ECUADOR</t>
  </si>
  <si>
    <t>n/a</t>
  </si>
  <si>
    <t>40% of impacts will be first on commercial break</t>
  </si>
  <si>
    <t>Gran Comercio</t>
  </si>
  <si>
    <t>Imaginarios</t>
  </si>
  <si>
    <t>Crucefit</t>
  </si>
  <si>
    <t>Metrovision</t>
  </si>
  <si>
    <t>40% of impacts will be first on commercial break.  August Rate</t>
  </si>
  <si>
    <t>40% of impacts will be first on commercial break.  July Rate</t>
  </si>
  <si>
    <t>40% of impacts will be first on commercial break.  September Rate</t>
  </si>
  <si>
    <t>40% of impacts will be first on commercial break.  Special program, on air September 6</t>
  </si>
  <si>
    <t>Daypart %       (A-AA-AAA-B)</t>
  </si>
  <si>
    <t>ECUAVISA</t>
  </si>
  <si>
    <t>RTS</t>
  </si>
  <si>
    <t>GAMA</t>
  </si>
  <si>
    <t>TC</t>
  </si>
  <si>
    <t>TELEAMAZONAS</t>
  </si>
  <si>
    <t>1 page</t>
  </si>
  <si>
    <t>Segment sponsors</t>
  </si>
  <si>
    <t>Bonus weekend</t>
  </si>
  <si>
    <t>Segment sponsors + bonus w + mentions</t>
  </si>
  <si>
    <t>1 extra paradero with the purchase of 10 paraderos.  Annual investment commitment is required</t>
  </si>
  <si>
    <t>Assumes annual contract.Bonus: Interior Banners and Spots in internal monitor.</t>
  </si>
  <si>
    <t>additional spots in yearly contract</t>
  </si>
  <si>
    <t xml:space="preserve"> Bonus of additional buses when annual contract is signed. </t>
  </si>
  <si>
    <t>100 spots in 98 Monitors.  Yearly contract assumed.  Bonus of additional Spots</t>
  </si>
  <si>
    <t>Letrasigma UIO y Prov/ Zazapec GYE</t>
  </si>
  <si>
    <t>Ratecard Version is the average price of elements distributed in 19% of elements in Quito, 19% of elements in Guayaquil, and 62% in other provinces.  Bonus include free production of 2 billboard per element</t>
  </si>
  <si>
    <t>Bonus of additional paradas</t>
  </si>
  <si>
    <t>15% in first position</t>
  </si>
  <si>
    <t>10% o fimpacts will be first on commercial break</t>
  </si>
  <si>
    <t xml:space="preserve">n/a. Network does allow commercial clients in this program.  </t>
  </si>
  <si>
    <t>Sponsor special programs</t>
  </si>
  <si>
    <t>Selection programs in primetime</t>
  </si>
  <si>
    <t>Segment sponsors+bonus weekend</t>
  </si>
  <si>
    <t>1 page+sponsor</t>
  </si>
  <si>
    <t>CANAL UNO</t>
  </si>
  <si>
    <t>0-34-66-0</t>
  </si>
  <si>
    <t>35-28-37-0</t>
  </si>
  <si>
    <t>0-43-57-0</t>
  </si>
  <si>
    <t>35-45-20-0</t>
  </si>
  <si>
    <t>27-56-16-0</t>
  </si>
  <si>
    <t>21-0-79-0</t>
  </si>
  <si>
    <t>25% of impacts will be first on commercial break. August 2014 Rate.  This rate is based on one spot only, it is not based on the value of a spot as part of a bigger package.</t>
  </si>
  <si>
    <t>25% of impacts will be first on commercial break</t>
  </si>
  <si>
    <t>30% of impacts will be first on commercial break</t>
  </si>
  <si>
    <t>30% of impacts will be first on commercial break.  August Rate</t>
  </si>
  <si>
    <t>30% of impacts will be first on commercial break. August 2014 Rate.  This rate is based on one spot only, it is not based on the value of a spot as part of a bigger package.</t>
  </si>
  <si>
    <t>20% of impacts will be first on commercial break. March Rate.  This rate is based on one spot only, it is not based on the value of a spot as part of package.</t>
  </si>
  <si>
    <t>20% of impacts will be first on commercial break. This rate is based on one spot only, it is not based on the value of a spot as part of package.</t>
  </si>
  <si>
    <t>30% of impacts will be first on commercial break. June Rate</t>
  </si>
  <si>
    <t>30% of impacts will be first on commercial break.  June Rate</t>
  </si>
  <si>
    <t>25% of impacts will be first on commercial break.  May Rate</t>
  </si>
  <si>
    <t>First Position in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</si>
</sst>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_ * #,##0_ ;_ * \-#,##0_ ;_ * &quot;-&quot;??_ ;_ @_ "/>
    <numFmt numFmtId="167" formatCode="_(* #,##0_);_(* \(#,##0\);_(* &quot;-&quot;??_);_(@_)"/>
    <numFmt numFmtId="168" formatCode="&quot;$&quot;#,##0.00"/>
    <numFmt numFmtId="169" formatCode="0.0"/>
    <numFmt numFmtId="170" formatCode="#,##0.0"/>
    <numFmt numFmtId="171" formatCode="_(* #,##0.0_);_(* \(#,##0.0\);_(* &quot;-&quot;??_);_(@_)"/>
    <numFmt numFmtId="173" formatCode="_-* #,##0_-;\-* #,##0_-;_-* &quot;-&quot;??_-;_-@_-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4"/>
      <name val="Tahoma"/>
      <family val="2"/>
    </font>
    <font>
      <sz val="10"/>
      <name val="Times New Roman"/>
      <family val="1"/>
    </font>
    <font>
      <b/>
      <sz val="10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Times New Roman"/>
      <family val="1"/>
    </font>
    <font>
      <b/>
      <sz val="12"/>
      <name val="Tahoma"/>
      <family val="2"/>
    </font>
    <font>
      <b/>
      <sz val="10"/>
      <color rgb="FFFF0000"/>
      <name val="Tahoma"/>
      <family val="2"/>
    </font>
    <font>
      <b/>
      <sz val="14"/>
      <color rgb="FFFF000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name val="宋体"/>
      <charset val="134"/>
    </font>
    <font>
      <sz val="12"/>
      <name val="Times New Roman"/>
      <family val="1"/>
    </font>
    <font>
      <b/>
      <sz val="12"/>
      <name val="Arial"/>
      <family val="2"/>
    </font>
    <font>
      <sz val="12"/>
      <name val="Courier"/>
      <family val="3"/>
    </font>
    <font>
      <sz val="10"/>
      <color theme="1"/>
      <name val="Tahoma"/>
      <family val="2"/>
    </font>
    <font>
      <b/>
      <u/>
      <sz val="14"/>
      <name val="Calibri"/>
      <family val="2"/>
      <scheme val="minor"/>
    </font>
    <font>
      <i/>
      <sz val="10"/>
      <name val="Tahoma"/>
      <family val="2"/>
    </font>
    <font>
      <b/>
      <u/>
      <sz val="10"/>
      <name val="Tahoma"/>
      <family val="2"/>
    </font>
    <font>
      <b/>
      <u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Calibri"/>
      <family val="2"/>
      <scheme val="minor"/>
    </font>
    <font>
      <sz val="10"/>
      <color theme="0" tint="-0.499984740745262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9"/>
      <color rgb="FFFF0000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sz val="13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i/>
      <sz val="12"/>
      <name val="Calibri"/>
      <family val="2"/>
      <scheme val="minor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 tint="-4.9989318521683403E-2"/>
      </left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medium">
        <color auto="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0" tint="-4.9989318521683403E-2"/>
      </left>
      <right style="thin">
        <color theme="0" tint="-0.14996795556505021"/>
      </right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auto="1"/>
      </bottom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/>
      <right style="thin">
        <color theme="0" tint="-4.9989318521683403E-2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theme="0" tint="-0.14996795556505021"/>
      </left>
      <right style="thin">
        <color auto="1"/>
      </right>
      <top style="medium">
        <color auto="1"/>
      </top>
      <bottom/>
      <diagonal/>
    </border>
    <border>
      <left style="thin">
        <color theme="0" tint="-0.14996795556505021"/>
      </left>
      <right style="thin">
        <color auto="1"/>
      </right>
      <top/>
      <bottom style="medium">
        <color auto="1"/>
      </bottom>
      <diagonal/>
    </border>
  </borders>
  <cellStyleXfs count="234">
    <xf numFmtId="0" fontId="0" fillId="0" borderId="0"/>
    <xf numFmtId="0" fontId="4" fillId="0" borderId="0"/>
    <xf numFmtId="165" fontId="4" fillId="0" borderId="0" applyFont="0" applyFill="0" applyBorder="0" applyAlignment="0" applyProtection="0">
      <alignment vertical="center"/>
    </xf>
    <xf numFmtId="0" fontId="16" fillId="0" borderId="0"/>
    <xf numFmtId="0" fontId="21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16" fillId="0" borderId="0"/>
    <xf numFmtId="0" fontId="22" fillId="0" borderId="0"/>
    <xf numFmtId="0" fontId="16" fillId="0" borderId="0"/>
    <xf numFmtId="0" fontId="16" fillId="0" borderId="0"/>
    <xf numFmtId="0" fontId="22" fillId="0" borderId="0"/>
    <xf numFmtId="0" fontId="16" fillId="0" borderId="0"/>
    <xf numFmtId="0" fontId="1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16" fillId="0" borderId="0"/>
    <xf numFmtId="0" fontId="16" fillId="0" borderId="0"/>
    <xf numFmtId="0" fontId="16" fillId="0" borderId="0" applyBorder="0"/>
    <xf numFmtId="0" fontId="16" fillId="0" borderId="0" applyBorder="0"/>
    <xf numFmtId="0" fontId="22" fillId="0" borderId="0"/>
    <xf numFmtId="0" fontId="22" fillId="0" borderId="0"/>
    <xf numFmtId="0" fontId="22" fillId="0" borderId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22" fillId="0" borderId="0"/>
    <xf numFmtId="0" fontId="22" fillId="0" borderId="0"/>
    <xf numFmtId="0" fontId="1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" fillId="0" borderId="0" applyBorder="0"/>
    <xf numFmtId="0" fontId="23" fillId="0" borderId="34" applyNumberFormat="0" applyAlignment="0" applyProtection="0">
      <alignment horizontal="left" vertical="center"/>
    </xf>
    <xf numFmtId="0" fontId="23" fillId="0" borderId="5">
      <alignment horizontal="left" vertical="center"/>
    </xf>
    <xf numFmtId="9" fontId="21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165" fontId="16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6" fillId="0" borderId="0"/>
    <xf numFmtId="0" fontId="21" fillId="0" borderId="0"/>
    <xf numFmtId="0" fontId="21" fillId="0" borderId="0"/>
    <xf numFmtId="0" fontId="16" fillId="0" borderId="0"/>
    <xf numFmtId="0" fontId="22" fillId="0" borderId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4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5" fontId="2" fillId="0" borderId="0" applyFont="0" applyFill="0" applyBorder="0" applyAlignment="0" applyProtection="0">
      <alignment vertical="center"/>
    </xf>
    <xf numFmtId="0" fontId="2" fillId="0" borderId="0"/>
    <xf numFmtId="164" fontId="16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5" fontId="1" fillId="0" borderId="0" applyFont="0" applyFill="0" applyBorder="0" applyAlignment="0" applyProtection="0">
      <alignment vertical="center"/>
    </xf>
    <xf numFmtId="0" fontId="1" fillId="0" borderId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</cellStyleXfs>
  <cellXfs count="260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5" fillId="0" borderId="0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8" fillId="0" borderId="0" xfId="0" applyFont="1" applyBorder="1"/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0" fillId="0" borderId="1" xfId="0" applyBorder="1"/>
    <xf numFmtId="0" fontId="10" fillId="0" borderId="1" xfId="0" applyFont="1" applyFill="1" applyBorder="1" applyAlignment="1">
      <alignment horizontal="center" wrapText="1"/>
    </xf>
    <xf numFmtId="0" fontId="8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0" fontId="12" fillId="0" borderId="1" xfId="0" applyFont="1" applyBorder="1"/>
    <xf numFmtId="0" fontId="12" fillId="0" borderId="1" xfId="0" applyFont="1" applyBorder="1" applyAlignment="1">
      <alignment horizontal="justify"/>
    </xf>
    <xf numFmtId="0" fontId="5" fillId="0" borderId="7" xfId="0" quotePrefix="1" applyFont="1" applyBorder="1" applyAlignment="1">
      <alignment horizontal="justify" vertical="top" wrapText="1"/>
    </xf>
    <xf numFmtId="0" fontId="11" fillId="0" borderId="3" xfId="0" quotePrefix="1" applyFont="1" applyBorder="1" applyAlignment="1">
      <alignment horizontal="justify" vertical="top" wrapText="1"/>
    </xf>
    <xf numFmtId="0" fontId="5" fillId="0" borderId="3" xfId="0" quotePrefix="1" applyFont="1" applyBorder="1" applyAlignment="1">
      <alignment horizontal="justify" vertical="top" wrapText="1"/>
    </xf>
    <xf numFmtId="0" fontId="5" fillId="0" borderId="2" xfId="0" quotePrefix="1" applyFont="1" applyBorder="1" applyAlignment="1">
      <alignment horizontal="justify" vertical="top" wrapText="1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2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1" xfId="0" applyFont="1" applyBorder="1" applyAlignment="1">
      <alignment horizontal="left" vertical="top" wrapText="1"/>
    </xf>
    <xf numFmtId="0" fontId="13" fillId="0" borderId="13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/>
    <xf numFmtId="0" fontId="19" fillId="0" borderId="0" xfId="1" applyFont="1"/>
    <xf numFmtId="0" fontId="17" fillId="0" borderId="0" xfId="1" applyFont="1"/>
    <xf numFmtId="0" fontId="4" fillId="0" borderId="0" xfId="1"/>
    <xf numFmtId="0" fontId="20" fillId="0" borderId="0" xfId="1" applyFont="1" applyAlignment="1">
      <alignment horizontal="center" wrapText="1"/>
    </xf>
    <xf numFmtId="0" fontId="18" fillId="0" borderId="0" xfId="1" applyFont="1" applyAlignment="1">
      <alignment wrapText="1"/>
    </xf>
    <xf numFmtId="0" fontId="26" fillId="0" borderId="0" xfId="1" applyFont="1"/>
    <xf numFmtId="0" fontId="27" fillId="0" borderId="0" xfId="0" applyFont="1" applyFill="1"/>
    <xf numFmtId="0" fontId="5" fillId="0" borderId="0" xfId="0" applyFont="1" applyFill="1"/>
    <xf numFmtId="0" fontId="12" fillId="0" borderId="0" xfId="0" applyFont="1" applyAlignment="1">
      <alignment horizontal="left"/>
    </xf>
    <xf numFmtId="0" fontId="28" fillId="0" borderId="0" xfId="1" applyFont="1" applyAlignment="1">
      <alignment wrapText="1"/>
    </xf>
    <xf numFmtId="0" fontId="28" fillId="0" borderId="0" xfId="1" applyFont="1"/>
    <xf numFmtId="0" fontId="29" fillId="0" borderId="0" xfId="1" applyFont="1"/>
    <xf numFmtId="0" fontId="8" fillId="0" borderId="0" xfId="1" applyFont="1" applyAlignment="1"/>
    <xf numFmtId="0" fontId="5" fillId="0" borderId="0" xfId="1" applyFont="1"/>
    <xf numFmtId="0" fontId="25" fillId="0" borderId="0" xfId="1" applyFont="1"/>
    <xf numFmtId="0" fontId="30" fillId="2" borderId="16" xfId="1" applyFont="1" applyFill="1" applyBorder="1" applyAlignment="1">
      <alignment horizontal="center" vertical="center"/>
    </xf>
    <xf numFmtId="0" fontId="30" fillId="2" borderId="17" xfId="1" applyFont="1" applyFill="1" applyBorder="1" applyAlignment="1">
      <alignment horizontal="center" vertical="center"/>
    </xf>
    <xf numFmtId="0" fontId="30" fillId="2" borderId="18" xfId="1" applyFont="1" applyFill="1" applyBorder="1" applyAlignment="1">
      <alignment horizontal="center" vertical="center"/>
    </xf>
    <xf numFmtId="0" fontId="30" fillId="2" borderId="19" xfId="1" applyFont="1" applyFill="1" applyBorder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0" fillId="2" borderId="26" xfId="1" applyFont="1" applyFill="1" applyBorder="1" applyAlignment="1">
      <alignment horizontal="left" vertical="center"/>
    </xf>
    <xf numFmtId="0" fontId="30" fillId="2" borderId="27" xfId="1" applyFont="1" applyFill="1" applyBorder="1" applyAlignment="1">
      <alignment horizontal="center" vertical="center" wrapText="1"/>
    </xf>
    <xf numFmtId="0" fontId="30" fillId="2" borderId="35" xfId="1" applyFont="1" applyFill="1" applyBorder="1" applyAlignment="1">
      <alignment horizontal="center" vertical="center"/>
    </xf>
    <xf numFmtId="0" fontId="30" fillId="2" borderId="36" xfId="1" applyFont="1" applyFill="1" applyBorder="1" applyAlignment="1">
      <alignment horizontal="center" vertical="center"/>
    </xf>
    <xf numFmtId="0" fontId="30" fillId="2" borderId="37" xfId="1" applyFont="1" applyFill="1" applyBorder="1" applyAlignment="1">
      <alignment horizontal="center" vertical="center"/>
    </xf>
    <xf numFmtId="0" fontId="30" fillId="2" borderId="27" xfId="1" applyFont="1" applyFill="1" applyBorder="1" applyAlignment="1">
      <alignment horizontal="center" vertical="center"/>
    </xf>
    <xf numFmtId="0" fontId="30" fillId="2" borderId="38" xfId="1" applyFont="1" applyFill="1" applyBorder="1" applyAlignment="1">
      <alignment horizontal="center" vertical="center"/>
    </xf>
    <xf numFmtId="0" fontId="30" fillId="2" borderId="39" xfId="1" applyFont="1" applyFill="1" applyBorder="1" applyAlignment="1">
      <alignment horizontal="center" vertical="center"/>
    </xf>
    <xf numFmtId="0" fontId="30" fillId="2" borderId="33" xfId="1" applyFont="1" applyFill="1" applyBorder="1" applyAlignment="1">
      <alignment horizontal="center" vertical="center"/>
    </xf>
    <xf numFmtId="0" fontId="25" fillId="3" borderId="22" xfId="1" applyFont="1" applyFill="1" applyBorder="1" applyAlignment="1">
      <alignment vertical="center"/>
    </xf>
    <xf numFmtId="0" fontId="13" fillId="3" borderId="0" xfId="1" applyFont="1" applyFill="1" applyBorder="1" applyAlignment="1">
      <alignment vertical="center" wrapText="1"/>
    </xf>
    <xf numFmtId="166" fontId="13" fillId="3" borderId="12" xfId="2" applyNumberFormat="1" applyFont="1" applyFill="1" applyBorder="1" applyAlignment="1">
      <alignment horizontal="left" vertical="center" wrapText="1"/>
    </xf>
    <xf numFmtId="0" fontId="15" fillId="3" borderId="13" xfId="1" applyFont="1" applyFill="1" applyBorder="1" applyAlignment="1">
      <alignment vertical="center"/>
    </xf>
    <xf numFmtId="0" fontId="32" fillId="3" borderId="13" xfId="1" applyFont="1" applyFill="1" applyBorder="1" applyAlignment="1">
      <alignment vertical="center"/>
    </xf>
    <xf numFmtId="0" fontId="25" fillId="3" borderId="0" xfId="1" applyFont="1" applyFill="1" applyBorder="1" applyAlignment="1">
      <alignment vertical="center"/>
    </xf>
    <xf numFmtId="0" fontId="25" fillId="3" borderId="3" xfId="1" applyFont="1" applyFill="1" applyBorder="1" applyAlignment="1">
      <alignment vertical="center"/>
    </xf>
    <xf numFmtId="166" fontId="25" fillId="3" borderId="13" xfId="2" applyNumberFormat="1" applyFont="1" applyFill="1" applyBorder="1" applyAlignment="1">
      <alignment vertical="center"/>
    </xf>
    <xf numFmtId="166" fontId="25" fillId="3" borderId="3" xfId="2" applyNumberFormat="1" applyFont="1" applyFill="1" applyBorder="1" applyAlignment="1">
      <alignment vertical="center"/>
    </xf>
    <xf numFmtId="0" fontId="25" fillId="3" borderId="25" xfId="1" applyFont="1" applyFill="1" applyBorder="1" applyAlignment="1">
      <alignment vertical="center"/>
    </xf>
    <xf numFmtId="0" fontId="25" fillId="3" borderId="13" xfId="1" applyFont="1" applyFill="1" applyBorder="1" applyAlignment="1">
      <alignment vertical="center"/>
    </xf>
    <xf numFmtId="0" fontId="25" fillId="3" borderId="23" xfId="1" applyFont="1" applyFill="1" applyBorder="1" applyAlignment="1">
      <alignment vertical="center"/>
    </xf>
    <xf numFmtId="0" fontId="33" fillId="3" borderId="0" xfId="1" applyFont="1" applyFill="1" applyAlignment="1">
      <alignment vertical="center"/>
    </xf>
    <xf numFmtId="0" fontId="25" fillId="0" borderId="22" xfId="1" applyFont="1" applyBorder="1" applyAlignment="1">
      <alignment vertical="center"/>
    </xf>
    <xf numFmtId="0" fontId="34" fillId="0" borderId="0" xfId="1" applyFont="1" applyBorder="1" applyAlignment="1">
      <alignment vertical="center" wrapText="1"/>
    </xf>
    <xf numFmtId="0" fontId="34" fillId="0" borderId="12" xfId="1" applyFont="1" applyBorder="1" applyAlignment="1">
      <alignment vertical="center" wrapText="1"/>
    </xf>
    <xf numFmtId="0" fontId="32" fillId="0" borderId="13" xfId="1" applyFont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25" fillId="0" borderId="3" xfId="1" applyFont="1" applyBorder="1" applyAlignment="1">
      <alignment vertical="center"/>
    </xf>
    <xf numFmtId="0" fontId="25" fillId="0" borderId="13" xfId="1" applyFont="1" applyBorder="1" applyAlignment="1">
      <alignment vertical="center"/>
    </xf>
    <xf numFmtId="166" fontId="25" fillId="0" borderId="3" xfId="2" applyNumberFormat="1" applyFont="1" applyBorder="1" applyAlignment="1">
      <alignment vertical="center"/>
    </xf>
    <xf numFmtId="0" fontId="25" fillId="0" borderId="25" xfId="1" applyFont="1" applyBorder="1" applyAlignment="1">
      <alignment vertical="center"/>
    </xf>
    <xf numFmtId="0" fontId="25" fillId="0" borderId="23" xfId="1" applyFont="1" applyBorder="1" applyAlignment="1">
      <alignment vertical="center"/>
    </xf>
    <xf numFmtId="0" fontId="33" fillId="0" borderId="0" xfId="1" applyFont="1" applyAlignment="1">
      <alignment vertical="center"/>
    </xf>
    <xf numFmtId="166" fontId="34" fillId="3" borderId="12" xfId="2" applyNumberFormat="1" applyFont="1" applyFill="1" applyBorder="1" applyAlignment="1">
      <alignment vertical="center" wrapText="1"/>
    </xf>
    <xf numFmtId="0" fontId="25" fillId="3" borderId="24" xfId="1" applyFont="1" applyFill="1" applyBorder="1" applyAlignment="1">
      <alignment vertical="center"/>
    </xf>
    <xf numFmtId="0" fontId="32" fillId="3" borderId="3" xfId="1" applyFont="1" applyFill="1" applyBorder="1" applyAlignment="1">
      <alignment vertical="center"/>
    </xf>
    <xf numFmtId="166" fontId="25" fillId="3" borderId="0" xfId="2" applyNumberFormat="1" applyFont="1" applyFill="1" applyBorder="1" applyAlignment="1">
      <alignment vertical="center"/>
    </xf>
    <xf numFmtId="0" fontId="25" fillId="4" borderId="22" xfId="1" applyFont="1" applyFill="1" applyBorder="1" applyAlignment="1">
      <alignment vertical="center"/>
    </xf>
    <xf numFmtId="0" fontId="32" fillId="4" borderId="13" xfId="1" applyFont="1" applyFill="1" applyBorder="1" applyAlignment="1">
      <alignment vertical="center"/>
    </xf>
    <xf numFmtId="0" fontId="25" fillId="4" borderId="0" xfId="1" applyFont="1" applyFill="1" applyBorder="1" applyAlignment="1">
      <alignment vertical="center"/>
    </xf>
    <xf numFmtId="0" fontId="25" fillId="4" borderId="3" xfId="1" applyFont="1" applyFill="1" applyBorder="1" applyAlignment="1">
      <alignment vertical="center"/>
    </xf>
    <xf numFmtId="0" fontId="25" fillId="4" borderId="13" xfId="1" applyFont="1" applyFill="1" applyBorder="1" applyAlignment="1">
      <alignment vertical="center"/>
    </xf>
    <xf numFmtId="0" fontId="25" fillId="4" borderId="25" xfId="1" applyFont="1" applyFill="1" applyBorder="1" applyAlignment="1">
      <alignment vertical="center"/>
    </xf>
    <xf numFmtId="0" fontId="25" fillId="4" borderId="23" xfId="1" applyFont="1" applyFill="1" applyBorder="1" applyAlignment="1">
      <alignment vertical="center"/>
    </xf>
    <xf numFmtId="0" fontId="33" fillId="4" borderId="0" xfId="1" applyFont="1" applyFill="1" applyAlignment="1">
      <alignment vertical="center"/>
    </xf>
    <xf numFmtId="0" fontId="34" fillId="3" borderId="0" xfId="1" applyFont="1" applyFill="1" applyBorder="1" applyAlignment="1">
      <alignment vertical="center"/>
    </xf>
    <xf numFmtId="0" fontId="25" fillId="0" borderId="26" xfId="1" applyFont="1" applyBorder="1"/>
    <xf numFmtId="0" fontId="34" fillId="0" borderId="27" xfId="1" applyFont="1" applyBorder="1" applyAlignment="1">
      <alignment wrapText="1"/>
    </xf>
    <xf numFmtId="0" fontId="34" fillId="0" borderId="28" xfId="1" applyFont="1" applyBorder="1" applyAlignment="1">
      <alignment wrapText="1"/>
    </xf>
    <xf numFmtId="0" fontId="25" fillId="0" borderId="29" xfId="1" applyFont="1" applyBorder="1"/>
    <xf numFmtId="0" fontId="25" fillId="0" borderId="30" xfId="1" applyFont="1" applyBorder="1"/>
    <xf numFmtId="0" fontId="25" fillId="0" borderId="27" xfId="1" applyFont="1" applyBorder="1"/>
    <xf numFmtId="0" fontId="25" fillId="0" borderId="31" xfId="1" applyFont="1" applyBorder="1"/>
    <xf numFmtId="0" fontId="25" fillId="0" borderId="32" xfId="1" applyFont="1" applyBorder="1"/>
    <xf numFmtId="0" fontId="25" fillId="0" borderId="33" xfId="1" applyFont="1" applyBorder="1"/>
    <xf numFmtId="0" fontId="33" fillId="0" borderId="0" xfId="1" applyFont="1"/>
    <xf numFmtId="0" fontId="8" fillId="0" borderId="0" xfId="1" applyFont="1"/>
    <xf numFmtId="0" fontId="35" fillId="0" borderId="0" xfId="0" applyFont="1" applyAlignment="1">
      <alignment horizontal="left"/>
    </xf>
    <xf numFmtId="0" fontId="36" fillId="0" borderId="0" xfId="193" applyFont="1" applyAlignment="1">
      <alignment horizontal="center" vertical="center"/>
    </xf>
    <xf numFmtId="0" fontId="40" fillId="0" borderId="0" xfId="193" applyFont="1" applyFill="1" applyAlignment="1">
      <alignment horizontal="center" vertical="center"/>
    </xf>
    <xf numFmtId="0" fontId="41" fillId="4" borderId="1" xfId="193" applyFont="1" applyFill="1" applyBorder="1" applyAlignment="1">
      <alignment horizontal="center" vertical="center"/>
    </xf>
    <xf numFmtId="3" fontId="36" fillId="4" borderId="1" xfId="193" applyNumberFormat="1" applyFont="1" applyFill="1" applyBorder="1" applyAlignment="1">
      <alignment horizontal="center" vertical="center" wrapText="1"/>
    </xf>
    <xf numFmtId="0" fontId="36" fillId="0" borderId="0" xfId="193" applyFont="1" applyFill="1" applyAlignment="1">
      <alignment horizontal="center" vertical="center"/>
    </xf>
    <xf numFmtId="0" fontId="41" fillId="4" borderId="2" xfId="193" applyFont="1" applyFill="1" applyBorder="1" applyAlignment="1">
      <alignment horizontal="center" vertical="center"/>
    </xf>
    <xf numFmtId="0" fontId="36" fillId="0" borderId="1" xfId="193" applyFont="1" applyBorder="1" applyAlignment="1">
      <alignment horizontal="center" vertical="center"/>
    </xf>
    <xf numFmtId="0" fontId="41" fillId="0" borderId="1" xfId="193" applyFont="1" applyBorder="1" applyAlignment="1">
      <alignment horizontal="center" vertical="center"/>
    </xf>
    <xf numFmtId="166" fontId="36" fillId="0" borderId="1" xfId="193" applyNumberFormat="1" applyFont="1" applyBorder="1" applyAlignment="1">
      <alignment horizontal="center" vertical="center"/>
    </xf>
    <xf numFmtId="0" fontId="36" fillId="0" borderId="0" xfId="193" applyFont="1" applyAlignment="1">
      <alignment horizontal="left" vertical="center"/>
    </xf>
    <xf numFmtId="0" fontId="44" fillId="0" borderId="0" xfId="0" applyFont="1" applyAlignment="1"/>
    <xf numFmtId="0" fontId="47" fillId="4" borderId="0" xfId="0" applyFont="1" applyFill="1" applyAlignment="1">
      <alignment vertical="center"/>
    </xf>
    <xf numFmtId="1" fontId="36" fillId="0" borderId="0" xfId="193" applyNumberFormat="1" applyFont="1" applyAlignment="1">
      <alignment horizontal="center" vertical="center"/>
    </xf>
    <xf numFmtId="1" fontId="23" fillId="0" borderId="0" xfId="193" applyNumberFormat="1" applyFont="1" applyFill="1" applyBorder="1" applyAlignment="1">
      <alignment horizontal="center" vertical="center"/>
    </xf>
    <xf numFmtId="1" fontId="42" fillId="0" borderId="1" xfId="193" applyNumberFormat="1" applyFont="1" applyFill="1" applyBorder="1" applyAlignment="1">
      <alignment horizontal="center" vertical="center" wrapText="1"/>
    </xf>
    <xf numFmtId="1" fontId="36" fillId="0" borderId="0" xfId="193" applyNumberFormat="1" applyFont="1" applyAlignment="1">
      <alignment horizontal="left" vertical="center"/>
    </xf>
    <xf numFmtId="0" fontId="13" fillId="0" borderId="1" xfId="0" applyFont="1" applyBorder="1" applyAlignment="1">
      <alignment horizontal="left" vertical="top" wrapText="1"/>
    </xf>
    <xf numFmtId="0" fontId="7" fillId="0" borderId="3" xfId="0" quotePrefix="1" applyFont="1" applyBorder="1" applyAlignment="1">
      <alignment horizontal="justify" vertical="center"/>
    </xf>
    <xf numFmtId="0" fontId="8" fillId="0" borderId="7" xfId="0" applyFont="1" applyBorder="1" applyAlignment="1">
      <alignment horizontal="justify" vertical="center"/>
    </xf>
    <xf numFmtId="0" fontId="0" fillId="0" borderId="0" xfId="0" applyAlignment="1">
      <alignment vertical="center"/>
    </xf>
    <xf numFmtId="0" fontId="5" fillId="0" borderId="3" xfId="0" quotePrefix="1" applyFont="1" applyBorder="1" applyAlignment="1">
      <alignment horizontal="justify" vertical="center"/>
    </xf>
    <xf numFmtId="0" fontId="5" fillId="0" borderId="3" xfId="0" quotePrefix="1" applyFont="1" applyBorder="1" applyAlignment="1">
      <alignment vertical="center"/>
    </xf>
    <xf numFmtId="0" fontId="7" fillId="0" borderId="3" xfId="0" applyFont="1" applyBorder="1" applyAlignment="1">
      <alignment horizontal="justify" vertical="center"/>
    </xf>
    <xf numFmtId="0" fontId="8" fillId="0" borderId="3" xfId="0" applyFont="1" applyBorder="1" applyAlignment="1">
      <alignment horizontal="justify" vertical="center"/>
    </xf>
    <xf numFmtId="0" fontId="25" fillId="0" borderId="3" xfId="1" quotePrefix="1" applyFont="1" applyBorder="1" applyAlignment="1">
      <alignment vertical="center"/>
    </xf>
    <xf numFmtId="0" fontId="0" fillId="0" borderId="2" xfId="0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Fill="1"/>
    <xf numFmtId="0" fontId="30" fillId="2" borderId="15" xfId="1" applyFont="1" applyFill="1" applyBorder="1" applyAlignment="1">
      <alignment horizontal="center" vertical="center"/>
    </xf>
    <xf numFmtId="0" fontId="38" fillId="4" borderId="0" xfId="192" applyFont="1" applyFill="1" applyAlignment="1">
      <alignment vertical="center"/>
    </xf>
    <xf numFmtId="166" fontId="13" fillId="3" borderId="12" xfId="2" applyNumberFormat="1" applyFont="1" applyFill="1" applyBorder="1" applyAlignment="1">
      <alignment vertical="center" wrapText="1"/>
    </xf>
    <xf numFmtId="0" fontId="13" fillId="4" borderId="0" xfId="1" applyFont="1" applyFill="1" applyBorder="1" applyAlignment="1">
      <alignment vertical="center" wrapText="1"/>
    </xf>
    <xf numFmtId="0" fontId="13" fillId="4" borderId="12" xfId="1" applyFont="1" applyFill="1" applyBorder="1" applyAlignment="1">
      <alignment vertical="center" wrapText="1"/>
    </xf>
    <xf numFmtId="0" fontId="30" fillId="2" borderId="15" xfId="1" applyFont="1" applyFill="1" applyBorder="1" applyAlignment="1">
      <alignment horizontal="center" vertical="center"/>
    </xf>
    <xf numFmtId="0" fontId="30" fillId="2" borderId="42" xfId="1" applyFont="1" applyFill="1" applyBorder="1" applyAlignment="1">
      <alignment horizontal="center" vertical="center"/>
    </xf>
    <xf numFmtId="0" fontId="30" fillId="2" borderId="43" xfId="1" applyFont="1" applyFill="1" applyBorder="1" applyAlignment="1">
      <alignment horizontal="center" vertical="center"/>
    </xf>
    <xf numFmtId="166" fontId="13" fillId="3" borderId="41" xfId="2" applyNumberFormat="1" applyFont="1" applyFill="1" applyBorder="1" applyAlignment="1">
      <alignment horizontal="center" vertical="center" wrapText="1"/>
    </xf>
    <xf numFmtId="0" fontId="32" fillId="0" borderId="3" xfId="1" applyFont="1" applyBorder="1" applyAlignment="1">
      <alignment horizontal="center" vertical="center"/>
    </xf>
    <xf numFmtId="166" fontId="13" fillId="3" borderId="3" xfId="2" applyNumberFormat="1" applyFont="1" applyFill="1" applyBorder="1" applyAlignment="1">
      <alignment horizontal="center" vertical="center" wrapText="1"/>
    </xf>
    <xf numFmtId="0" fontId="32" fillId="4" borderId="3" xfId="1" applyFont="1" applyFill="1" applyBorder="1" applyAlignment="1">
      <alignment horizontal="center" vertical="center"/>
    </xf>
    <xf numFmtId="167" fontId="42" fillId="0" borderId="1" xfId="196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" fontId="8" fillId="0" borderId="8" xfId="0" applyNumberFormat="1" applyFont="1" applyBorder="1"/>
    <xf numFmtId="0" fontId="3" fillId="0" borderId="1" xfId="193" applyFont="1" applyFill="1" applyBorder="1" applyAlignment="1">
      <alignment horizontal="center" vertical="center"/>
    </xf>
    <xf numFmtId="168" fontId="36" fillId="0" borderId="1" xfId="193" applyNumberFormat="1" applyFont="1" applyBorder="1" applyAlignment="1">
      <alignment horizontal="center" vertical="center"/>
    </xf>
    <xf numFmtId="168" fontId="36" fillId="0" borderId="1" xfId="193" applyNumberFormat="1" applyFont="1" applyFill="1" applyBorder="1" applyAlignment="1">
      <alignment horizontal="center" vertical="center"/>
    </xf>
    <xf numFmtId="9" fontId="5" fillId="0" borderId="1" xfId="197" applyFont="1" applyBorder="1" applyAlignment="1">
      <alignment horizontal="center" vertical="top" wrapText="1"/>
    </xf>
    <xf numFmtId="169" fontId="5" fillId="0" borderId="1" xfId="0" applyNumberFormat="1" applyFont="1" applyBorder="1" applyAlignment="1">
      <alignment horizontal="center" vertical="top" wrapText="1"/>
    </xf>
    <xf numFmtId="9" fontId="5" fillId="0" borderId="1" xfId="0" applyNumberFormat="1" applyFont="1" applyBorder="1" applyAlignment="1">
      <alignment horizontal="center" vertical="top" wrapText="1"/>
    </xf>
    <xf numFmtId="170" fontId="5" fillId="0" borderId="1" xfId="0" applyNumberFormat="1" applyFont="1" applyBorder="1" applyAlignment="1">
      <alignment horizontal="center" vertical="top" wrapText="1"/>
    </xf>
    <xf numFmtId="0" fontId="5" fillId="0" borderId="0" xfId="192" applyFont="1"/>
    <xf numFmtId="0" fontId="6" fillId="0" borderId="0" xfId="192" applyFont="1" applyAlignment="1">
      <alignment horizontal="left"/>
    </xf>
    <xf numFmtId="0" fontId="35" fillId="0" borderId="0" xfId="192" applyFont="1" applyAlignment="1">
      <alignment horizontal="left"/>
    </xf>
    <xf numFmtId="0" fontId="8" fillId="0" borderId="1" xfId="192" applyFont="1" applyBorder="1" applyAlignment="1">
      <alignment vertical="top"/>
    </xf>
    <xf numFmtId="0" fontId="5" fillId="0" borderId="1" xfId="192" applyFont="1" applyBorder="1"/>
    <xf numFmtId="0" fontId="8" fillId="0" borderId="4" xfId="192" applyFont="1" applyBorder="1"/>
    <xf numFmtId="0" fontId="8" fillId="0" borderId="8" xfId="192" applyFont="1" applyBorder="1"/>
    <xf numFmtId="0" fontId="8" fillId="0" borderId="9" xfId="192" applyFont="1" applyBorder="1"/>
    <xf numFmtId="17" fontId="8" fillId="0" borderId="8" xfId="192" applyNumberFormat="1" applyFont="1" applyBorder="1"/>
    <xf numFmtId="0" fontId="8" fillId="0" borderId="6" xfId="192" applyFont="1" applyBorder="1"/>
    <xf numFmtId="0" fontId="8" fillId="0" borderId="12" xfId="192" applyFont="1" applyBorder="1"/>
    <xf numFmtId="0" fontId="8" fillId="0" borderId="1" xfId="192" applyFont="1" applyBorder="1" applyAlignment="1">
      <alignment horizontal="left" vertical="top" wrapText="1"/>
    </xf>
    <xf numFmtId="0" fontId="8" fillId="0" borderId="1" xfId="192" applyFont="1" applyBorder="1" applyAlignment="1">
      <alignment horizontal="center" vertical="top" wrapText="1"/>
    </xf>
    <xf numFmtId="0" fontId="13" fillId="0" borderId="1" xfId="192" applyFont="1" applyBorder="1" applyAlignment="1">
      <alignment horizontal="left" vertical="top" wrapText="1"/>
    </xf>
    <xf numFmtId="0" fontId="5" fillId="0" borderId="1" xfId="192" applyFont="1" applyBorder="1" applyAlignment="1">
      <alignment horizontal="center" vertical="top" wrapText="1"/>
    </xf>
    <xf numFmtId="9" fontId="5" fillId="0" borderId="1" xfId="198" applyFont="1" applyBorder="1" applyAlignment="1">
      <alignment horizontal="center" vertical="top" wrapText="1"/>
    </xf>
    <xf numFmtId="169" fontId="5" fillId="0" borderId="1" xfId="192" applyNumberFormat="1" applyFont="1" applyBorder="1" applyAlignment="1">
      <alignment horizontal="center" vertical="top" wrapText="1"/>
    </xf>
    <xf numFmtId="0" fontId="5" fillId="0" borderId="1" xfId="192" applyFont="1" applyBorder="1" applyAlignment="1">
      <alignment horizontal="left" vertical="top" wrapText="1"/>
    </xf>
    <xf numFmtId="0" fontId="13" fillId="0" borderId="13" xfId="192" applyFont="1" applyBorder="1" applyAlignment="1">
      <alignment horizontal="center"/>
    </xf>
    <xf numFmtId="0" fontId="5" fillId="0" borderId="1" xfId="192" applyFont="1" applyBorder="1" applyAlignment="1">
      <alignment vertical="top" wrapText="1"/>
    </xf>
    <xf numFmtId="0" fontId="16" fillId="0" borderId="1" xfId="0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9" fontId="5" fillId="0" borderId="1" xfId="192" applyNumberFormat="1" applyFont="1" applyBorder="1" applyAlignment="1">
      <alignment horizontal="center" vertical="top" wrapText="1"/>
    </xf>
    <xf numFmtId="9" fontId="0" fillId="0" borderId="1" xfId="0" applyNumberFormat="1" applyBorder="1" applyAlignment="1">
      <alignment horizontal="center"/>
    </xf>
    <xf numFmtId="9" fontId="0" fillId="0" borderId="1" xfId="197" applyFont="1" applyBorder="1" applyAlignment="1">
      <alignment horizontal="center"/>
    </xf>
    <xf numFmtId="0" fontId="5" fillId="0" borderId="0" xfId="0" applyFont="1"/>
    <xf numFmtId="9" fontId="5" fillId="0" borderId="1" xfId="195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9" fontId="5" fillId="0" borderId="1" xfId="0" applyNumberFormat="1" applyFont="1" applyBorder="1" applyAlignment="1">
      <alignment horizontal="center" vertical="center"/>
    </xf>
    <xf numFmtId="9" fontId="5" fillId="0" borderId="1" xfId="198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wrapText="1"/>
    </xf>
    <xf numFmtId="9" fontId="5" fillId="0" borderId="1" xfId="195" applyFont="1" applyBorder="1" applyAlignment="1">
      <alignment horizontal="center" vertical="center" wrapText="1"/>
    </xf>
    <xf numFmtId="9" fontId="5" fillId="0" borderId="1" xfId="198" applyFont="1" applyBorder="1" applyAlignment="1">
      <alignment horizontal="center" vertical="top" wrapText="1"/>
    </xf>
    <xf numFmtId="9" fontId="5" fillId="0" borderId="1" xfId="195" applyFont="1" applyFill="1" applyBorder="1" applyAlignment="1">
      <alignment horizontal="center" vertical="center" wrapText="1"/>
    </xf>
    <xf numFmtId="9" fontId="5" fillId="0" borderId="1" xfId="0" applyNumberFormat="1" applyFont="1" applyFill="1" applyBorder="1" applyAlignment="1">
      <alignment horizontal="center" vertical="center" wrapText="1"/>
    </xf>
    <xf numFmtId="9" fontId="5" fillId="0" borderId="1" xfId="195" applyFont="1" applyFill="1" applyBorder="1" applyAlignment="1">
      <alignment horizontal="center" vertical="top" wrapText="1"/>
    </xf>
    <xf numFmtId="9" fontId="5" fillId="0" borderId="1" xfId="198" applyFont="1" applyFill="1" applyBorder="1" applyAlignment="1">
      <alignment horizontal="center" vertical="top" wrapText="1"/>
    </xf>
    <xf numFmtId="170" fontId="5" fillId="0" borderId="1" xfId="0" applyNumberFormat="1" applyFont="1" applyBorder="1" applyAlignment="1">
      <alignment horizontal="center" vertical="center" wrapText="1"/>
    </xf>
    <xf numFmtId="170" fontId="5" fillId="0" borderId="1" xfId="0" applyNumberFormat="1" applyFont="1" applyFill="1" applyBorder="1" applyAlignment="1">
      <alignment horizontal="center" vertical="center" wrapText="1"/>
    </xf>
    <xf numFmtId="170" fontId="5" fillId="0" borderId="1" xfId="0" applyNumberFormat="1" applyFont="1" applyFill="1" applyBorder="1" applyAlignment="1">
      <alignment horizontal="center" wrapText="1"/>
    </xf>
    <xf numFmtId="170" fontId="5" fillId="0" borderId="1" xfId="0" applyNumberFormat="1" applyFont="1" applyFill="1" applyBorder="1" applyAlignment="1">
      <alignment horizontal="center"/>
    </xf>
    <xf numFmtId="170" fontId="5" fillId="0" borderId="1" xfId="0" applyNumberFormat="1" applyFont="1" applyBorder="1" applyAlignment="1">
      <alignment horizontal="center" wrapText="1"/>
    </xf>
    <xf numFmtId="170" fontId="5" fillId="4" borderId="1" xfId="0" applyNumberFormat="1" applyFont="1" applyFill="1" applyBorder="1" applyAlignment="1">
      <alignment horizontal="center" wrapText="1"/>
    </xf>
    <xf numFmtId="0" fontId="8" fillId="0" borderId="1" xfId="192" applyFont="1" applyBorder="1" applyAlignment="1">
      <alignment horizontal="left" vertical="top" wrapText="1"/>
    </xf>
    <xf numFmtId="0" fontId="8" fillId="0" borderId="1" xfId="192" applyFont="1" applyBorder="1" applyAlignment="1">
      <alignment horizontal="center" vertical="top" wrapText="1"/>
    </xf>
    <xf numFmtId="0" fontId="5" fillId="0" borderId="1" xfId="192" applyFont="1" applyBorder="1" applyAlignment="1">
      <alignment horizontal="center" vertical="top" wrapText="1"/>
    </xf>
    <xf numFmtId="0" fontId="5" fillId="0" borderId="1" xfId="192" applyFont="1" applyBorder="1" applyAlignment="1">
      <alignment horizontal="left" vertical="top" wrapText="1"/>
    </xf>
    <xf numFmtId="0" fontId="5" fillId="0" borderId="2" xfId="192" applyFont="1" applyBorder="1"/>
    <xf numFmtId="9" fontId="5" fillId="0" borderId="1" xfId="198" applyFont="1" applyBorder="1" applyAlignment="1">
      <alignment horizontal="center" vertical="top" wrapText="1"/>
    </xf>
    <xf numFmtId="9" fontId="25" fillId="3" borderId="3" xfId="1" applyNumberFormat="1" applyFont="1" applyFill="1" applyBorder="1" applyAlignment="1">
      <alignment vertical="center"/>
    </xf>
    <xf numFmtId="43" fontId="25" fillId="3" borderId="13" xfId="2" applyNumberFormat="1" applyFont="1" applyFill="1" applyBorder="1" applyAlignment="1">
      <alignment vertical="center"/>
    </xf>
    <xf numFmtId="9" fontId="25" fillId="3" borderId="25" xfId="1" applyNumberFormat="1" applyFont="1" applyFill="1" applyBorder="1" applyAlignment="1">
      <alignment vertical="center"/>
    </xf>
    <xf numFmtId="9" fontId="4" fillId="0" borderId="0" xfId="197" applyFont="1"/>
    <xf numFmtId="43" fontId="25" fillId="0" borderId="0" xfId="1" applyNumberFormat="1" applyFont="1"/>
    <xf numFmtId="166" fontId="4" fillId="0" borderId="0" xfId="1" applyNumberFormat="1"/>
    <xf numFmtId="9" fontId="25" fillId="3" borderId="25" xfId="1" applyNumberFormat="1" applyFont="1" applyFill="1" applyBorder="1" applyAlignment="1">
      <alignment horizontal="right" vertical="center"/>
    </xf>
    <xf numFmtId="43" fontId="4" fillId="0" borderId="0" xfId="1" applyNumberFormat="1"/>
    <xf numFmtId="0" fontId="25" fillId="3" borderId="23" xfId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top" wrapText="1"/>
    </xf>
    <xf numFmtId="170" fontId="5" fillId="0" borderId="1" xfId="211" applyNumberFormat="1" applyFont="1" applyBorder="1" applyAlignment="1">
      <alignment horizontal="center" vertical="top" wrapText="1"/>
    </xf>
    <xf numFmtId="170" fontId="5" fillId="0" borderId="1" xfId="192" applyNumberFormat="1" applyFont="1" applyBorder="1" applyAlignment="1">
      <alignment horizontal="center" vertical="top" wrapText="1"/>
    </xf>
    <xf numFmtId="169" fontId="25" fillId="0" borderId="1" xfId="192" applyNumberFormat="1" applyFont="1" applyBorder="1" applyAlignment="1">
      <alignment horizontal="center" vertical="top" wrapText="1"/>
    </xf>
    <xf numFmtId="169" fontId="8" fillId="0" borderId="1" xfId="192" applyNumberFormat="1" applyFont="1" applyBorder="1" applyAlignment="1">
      <alignment horizontal="left" vertical="top" wrapText="1"/>
    </xf>
    <xf numFmtId="171" fontId="5" fillId="0" borderId="1" xfId="211" applyNumberFormat="1" applyFont="1" applyBorder="1" applyAlignment="1">
      <alignment vertical="top" wrapText="1"/>
    </xf>
    <xf numFmtId="169" fontId="5" fillId="0" borderId="1" xfId="192" applyNumberFormat="1" applyFont="1" applyBorder="1" applyAlignment="1">
      <alignment horizontal="center" vertical="top" wrapText="1"/>
    </xf>
    <xf numFmtId="169" fontId="5" fillId="0" borderId="1" xfId="192" applyNumberFormat="1" applyFont="1" applyBorder="1" applyAlignment="1">
      <alignment horizontal="center" vertical="top" wrapText="1"/>
    </xf>
    <xf numFmtId="169" fontId="5" fillId="0" borderId="1" xfId="192" applyNumberFormat="1" applyFont="1" applyBorder="1" applyAlignment="1">
      <alignment horizontal="center" vertical="top" wrapText="1"/>
    </xf>
    <xf numFmtId="9" fontId="5" fillId="0" borderId="1" xfId="198" applyFont="1" applyBorder="1" applyAlignment="1">
      <alignment horizontal="center" vertical="top" wrapText="1"/>
    </xf>
    <xf numFmtId="169" fontId="5" fillId="0" borderId="1" xfId="192" applyNumberFormat="1" applyFont="1" applyBorder="1" applyAlignment="1">
      <alignment horizontal="center" vertical="top" wrapText="1"/>
    </xf>
    <xf numFmtId="171" fontId="5" fillId="0" borderId="1" xfId="211" applyNumberFormat="1" applyFont="1" applyBorder="1" applyAlignment="1">
      <alignment horizontal="center" vertical="top" wrapText="1"/>
    </xf>
    <xf numFmtId="0" fontId="30" fillId="2" borderId="15" xfId="1" applyFont="1" applyFill="1" applyBorder="1" applyAlignment="1">
      <alignment horizontal="center" vertical="center"/>
    </xf>
    <xf numFmtId="0" fontId="30" fillId="2" borderId="21" xfId="1" applyFont="1" applyFill="1" applyBorder="1" applyAlignment="1">
      <alignment horizontal="center" vertical="center"/>
    </xf>
    <xf numFmtId="0" fontId="30" fillId="2" borderId="14" xfId="1" applyFont="1" applyFill="1" applyBorder="1" applyAlignment="1">
      <alignment horizontal="left" vertical="center" wrapText="1"/>
    </xf>
    <xf numFmtId="0" fontId="30" fillId="2" borderId="40" xfId="1" applyFont="1" applyFill="1" applyBorder="1" applyAlignment="1">
      <alignment horizontal="left" vertical="center" wrapText="1"/>
    </xf>
    <xf numFmtId="0" fontId="30" fillId="2" borderId="20" xfId="1" applyFont="1" applyFill="1" applyBorder="1" applyAlignment="1">
      <alignment horizontal="center" vertical="center"/>
    </xf>
    <xf numFmtId="0" fontId="23" fillId="0" borderId="7" xfId="193" applyFont="1" applyFill="1" applyBorder="1" applyAlignment="1" applyProtection="1">
      <alignment horizontal="left" vertical="center"/>
      <protection locked="0"/>
    </xf>
    <xf numFmtId="0" fontId="23" fillId="0" borderId="2" xfId="193" applyFont="1" applyFill="1" applyBorder="1" applyAlignment="1" applyProtection="1">
      <alignment horizontal="left" vertical="center"/>
      <protection locked="0"/>
    </xf>
    <xf numFmtId="0" fontId="39" fillId="4" borderId="7" xfId="193" applyFont="1" applyFill="1" applyBorder="1" applyAlignment="1">
      <alignment horizontal="center" vertical="center" wrapText="1"/>
    </xf>
    <xf numFmtId="0" fontId="39" fillId="4" borderId="2" xfId="193" applyFont="1" applyFill="1" applyBorder="1" applyAlignment="1">
      <alignment horizontal="center" vertical="center" wrapText="1"/>
    </xf>
    <xf numFmtId="0" fontId="37" fillId="4" borderId="0" xfId="193" applyFont="1" applyFill="1" applyAlignment="1" applyProtection="1">
      <alignment horizontal="left" vertical="center"/>
      <protection locked="0"/>
    </xf>
    <xf numFmtId="0" fontId="38" fillId="4" borderId="0" xfId="192" applyFont="1" applyFill="1" applyAlignment="1">
      <alignment vertical="center"/>
    </xf>
    <xf numFmtId="0" fontId="23" fillId="0" borderId="7" xfId="193" applyFont="1" applyFill="1" applyBorder="1" applyAlignment="1" applyProtection="1">
      <alignment horizontal="center" vertical="center" wrapText="1"/>
      <protection locked="0"/>
    </xf>
    <xf numFmtId="0" fontId="23" fillId="0" borderId="2" xfId="193" applyFont="1" applyFill="1" applyBorder="1" applyAlignment="1" applyProtection="1">
      <alignment horizontal="center" vertical="center" wrapText="1"/>
      <protection locked="0"/>
    </xf>
    <xf numFmtId="1" fontId="23" fillId="0" borderId="7" xfId="193" applyNumberFormat="1" applyFont="1" applyFill="1" applyBorder="1" applyAlignment="1">
      <alignment horizontal="center" vertical="center" wrapText="1"/>
    </xf>
    <xf numFmtId="1" fontId="23" fillId="0" borderId="2" xfId="193" applyNumberFormat="1" applyFont="1" applyFill="1" applyBorder="1" applyAlignment="1">
      <alignment horizontal="center" vertical="center" wrapText="1"/>
    </xf>
    <xf numFmtId="173" fontId="25" fillId="3" borderId="24" xfId="1" applyNumberFormat="1" applyFont="1" applyFill="1" applyBorder="1" applyAlignment="1">
      <alignment horizontal="center" vertical="center"/>
    </xf>
    <xf numFmtId="173" fontId="25" fillId="0" borderId="24" xfId="1" applyNumberFormat="1" applyFont="1" applyBorder="1" applyAlignment="1">
      <alignment horizontal="center" vertical="center"/>
    </xf>
    <xf numFmtId="173" fontId="25" fillId="4" borderId="24" xfId="1" applyNumberFormat="1" applyFont="1" applyFill="1" applyBorder="1" applyAlignment="1">
      <alignment horizontal="center" vertical="center"/>
    </xf>
    <xf numFmtId="173" fontId="51" fillId="0" borderId="24" xfId="1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17" fontId="8" fillId="0" borderId="1" xfId="0" applyNumberFormat="1" applyFont="1" applyBorder="1"/>
  </cellXfs>
  <cellStyles count="234">
    <cellStyle name="_A六城市" xfId="6"/>
    <cellStyle name="_Book1" xfId="7"/>
    <cellStyle name="_Book2" xfId="8"/>
    <cellStyle name="_Book2_1" xfId="9"/>
    <cellStyle name="_B六城市" xfId="10"/>
    <cellStyle name="_B十一城市" xfId="11"/>
    <cellStyle name="_B网楼宇总表11-23 (2)" xfId="12"/>
    <cellStyle name="_Coke Changing Visual Production Spotplan-R" xfId="13"/>
    <cellStyle name="_ET_STYLE_NoName_00_" xfId="14"/>
    <cellStyle name="_ET_STYLE_NoName_00__Sheet1" xfId="15"/>
    <cellStyle name="_ET_STYLE_NoName_00__内部A网_1" xfId="16"/>
    <cellStyle name="_ET_STYLE_NoName_00__内部A网_2" xfId="17"/>
    <cellStyle name="_ET_STYLE_NoName_00__内部A网_3" xfId="18"/>
    <cellStyle name="_ET_STYLE_NoName_00__内部B网" xfId="19"/>
    <cellStyle name="_ET_STYLE_NoName_00__内部B网_1" xfId="20"/>
    <cellStyle name="_ET_STYLE_NoName_00__内部B网_2" xfId="21"/>
    <cellStyle name="_ET_STYLE_NoName_00__厦门红鑫海岸" xfId="22"/>
    <cellStyle name="_ET_STYLE_NoName_00__房产B网" xfId="23"/>
    <cellStyle name="_ET_STYLE_NoName_00__房产B网_1" xfId="24"/>
    <cellStyle name="_ET_STYLE_NoName_00__武汉楼宇表070125 (2)" xfId="25"/>
    <cellStyle name="_ET_STYLE_NoName_00__武汉销售楼宇表070201 (2)" xfId="26"/>
    <cellStyle name="_ET_STYLE_NoName_00__贵阳" xfId="27"/>
    <cellStyle name="_Spot plan-STB-WH Billboard-05011" xfId="28"/>
    <cellStyle name="_TVMkt%01q2 (billing split)" xfId="29"/>
    <cellStyle name="_TVMkt%01q2 (billing split)_HM-Ronald wizard brief tool" xfId="30"/>
    <cellStyle name="_东莞(B网)楼宇07-3-1" xfId="31"/>
    <cellStyle name="_中国商业楼宇联播网-B套sales0423" xfId="32"/>
    <cellStyle name="_佛山" xfId="33"/>
    <cellStyle name="_凯伦广告08.11.11-可口可乐" xfId="34"/>
    <cellStyle name="_分众辉煌B网网络资源" xfId="35"/>
    <cellStyle name="_副本新设备档案表-长春060803（上海） (3)" xfId="36"/>
    <cellStyle name="_厦门" xfId="37"/>
    <cellStyle name="_可乐 200点位方案" xfId="38"/>
    <cellStyle name="_可乐 4城市 准 1023" xfId="39"/>
    <cellStyle name="_台州加盟" xfId="40"/>
    <cellStyle name="_天津商业楼宇联播网楼宇表0423 (2)" xfId="41"/>
    <cellStyle name="_宁波 (2)" xfId="42"/>
    <cellStyle name="_无锡楼宇表" xfId="43"/>
    <cellStyle name="_昆山分众楼宇明细表061127 (2)" xfId="44"/>
    <cellStyle name="_昆山分众楼宇明细表07 04 05 (2)" xfId="45"/>
    <cellStyle name="_昆山分众楼宇明细表07 5 21 (2)" xfId="46"/>
    <cellStyle name="_昆山分众楼宇明细表07-1-16 (2)" xfId="48"/>
    <cellStyle name="_昆山分众楼宇明细表07-1-25 (2)" xfId="49"/>
    <cellStyle name="_昆山分众楼宇明细表07-3-15 (2)" xfId="50"/>
    <cellStyle name="_昆山分众楼宇明细表07-3-21 (2)" xfId="51"/>
    <cellStyle name="_昆山分众楼宇明细表07-3-27 (2)" xfId="52"/>
    <cellStyle name="_昆山分众楼宇明细表07.04.10" xfId="47"/>
    <cellStyle name="_楼宇更新 (2)" xfId="53"/>
    <cellStyle name="_楼宇更新07 02 28 (2)" xfId="54"/>
    <cellStyle name="_楼宇更新07 1 24 (2)" xfId="55"/>
    <cellStyle name="_楼宇更新07 5 11 (2)" xfId="56"/>
    <cellStyle name="_武汉楼宇表070125 (2)" xfId="57"/>
    <cellStyle name="_武汉销售楼宇表070201 (2)" xfId="58"/>
    <cellStyle name="_沈阳楼宇名录(06.7.24)" xfId="59"/>
    <cellStyle name="_泉州" xfId="60"/>
    <cellStyle name="_济南 (2)" xfId="61"/>
    <cellStyle name="_济南7 27 (2)" xfId="62"/>
    <cellStyle name="_济南7 27 (3)" xfId="63"/>
    <cellStyle name="_济南8 4 (2)" xfId="64"/>
    <cellStyle name="_济南8.11" xfId="65"/>
    <cellStyle name="_济南楼宇表10 9 (2)" xfId="66"/>
    <cellStyle name="_济南楼宇表2007 1 17 (2)" xfId="67"/>
    <cellStyle name="_苏州B" xfId="68"/>
    <cellStyle name="_西安真实楼宇表（发上海） (2)" xfId="69"/>
    <cellStyle name="_长春B" xfId="70"/>
    <cellStyle name="_青岛联播网B套06-5-11" xfId="71"/>
    <cellStyle name="_青岛联播网B套06-5-18" xfId="72"/>
    <cellStyle name="?鹎%U龡&amp;H鼼_x0008__x0001__x001f_?_x0007__x0001__x0001_" xfId="3"/>
    <cellStyle name="?鹎%U龡&amp;H鼼_x0008__x0001__x001f_?_x0007__x0001__x0001_ 2" xfId="4"/>
    <cellStyle name="@ET_Style?Normal" xfId="5"/>
    <cellStyle name="3232" xfId="73"/>
    <cellStyle name="Comma" xfId="196" builtinId="3"/>
    <cellStyle name="Comma 2" xfId="2"/>
    <cellStyle name="Comma 2 2" xfId="209"/>
    <cellStyle name="Comma 2 3" xfId="226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Header1" xfId="74"/>
    <cellStyle name="Header2" xfId="75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Millares 2" xfId="211"/>
    <cellStyle name="Normal" xfId="0" builtinId="0"/>
    <cellStyle name="Normal 2" xfId="1"/>
    <cellStyle name="Normal 2 2" xfId="192"/>
    <cellStyle name="Normal 2 3" xfId="193"/>
    <cellStyle name="Normal 2 4" xfId="210"/>
    <cellStyle name="Normal 2 5" xfId="227"/>
    <cellStyle name="Percent" xfId="197" builtinId="5"/>
    <cellStyle name="Percent 2" xfId="76"/>
    <cellStyle name="Percent 2 2" xfId="194"/>
    <cellStyle name="Percent 3" xfId="195"/>
    <cellStyle name="Porcentaje 2" xfId="198"/>
    <cellStyle name="Style 1" xfId="77"/>
    <cellStyle name="Style 10" xfId="78"/>
    <cellStyle name="Style 11" xfId="79"/>
    <cellStyle name="Style 12" xfId="80"/>
    <cellStyle name="Style 13" xfId="81"/>
    <cellStyle name="Style 14" xfId="82"/>
    <cellStyle name="Style 15" xfId="83"/>
    <cellStyle name="Style 16" xfId="84"/>
    <cellStyle name="Style 17" xfId="85"/>
    <cellStyle name="Style 18" xfId="86"/>
    <cellStyle name="Style 19" xfId="87"/>
    <cellStyle name="Style 2" xfId="88"/>
    <cellStyle name="Style 20" xfId="89"/>
    <cellStyle name="Style 21" xfId="90"/>
    <cellStyle name="Style 22" xfId="91"/>
    <cellStyle name="Style 23" xfId="92"/>
    <cellStyle name="Style 24" xfId="93"/>
    <cellStyle name="Style 25" xfId="94"/>
    <cellStyle name="Style 26" xfId="95"/>
    <cellStyle name="Style 27" xfId="96"/>
    <cellStyle name="Style 28" xfId="97"/>
    <cellStyle name="Style 29" xfId="98"/>
    <cellStyle name="Style 3" xfId="99"/>
    <cellStyle name="Style 30" xfId="100"/>
    <cellStyle name="Style 31" xfId="101"/>
    <cellStyle name="Style 32" xfId="102"/>
    <cellStyle name="Style 33" xfId="103"/>
    <cellStyle name="Style 34" xfId="104"/>
    <cellStyle name="Style 35" xfId="105"/>
    <cellStyle name="Style 36" xfId="106"/>
    <cellStyle name="Style 37" xfId="107"/>
    <cellStyle name="Style 38" xfId="108"/>
    <cellStyle name="Style 39" xfId="109"/>
    <cellStyle name="Style 4" xfId="110"/>
    <cellStyle name="Style 40" xfId="111"/>
    <cellStyle name="Style 41" xfId="112"/>
    <cellStyle name="Style 42" xfId="113"/>
    <cellStyle name="Style 43" xfId="114"/>
    <cellStyle name="Style 44" xfId="115"/>
    <cellStyle name="Style 45" xfId="116"/>
    <cellStyle name="Style 46" xfId="117"/>
    <cellStyle name="Style 47" xfId="118"/>
    <cellStyle name="Style 48" xfId="119"/>
    <cellStyle name="Style 49" xfId="120"/>
    <cellStyle name="Style 5" xfId="121"/>
    <cellStyle name="Style 50" xfId="122"/>
    <cellStyle name="Style 51" xfId="123"/>
    <cellStyle name="Style 52" xfId="124"/>
    <cellStyle name="Style 53" xfId="125"/>
    <cellStyle name="Style 54" xfId="126"/>
    <cellStyle name="Style 55" xfId="127"/>
    <cellStyle name="Style 6" xfId="128"/>
    <cellStyle name="Style 7" xfId="129"/>
    <cellStyle name="Style 8" xfId="130"/>
    <cellStyle name="Style 9" xfId="131"/>
    <cellStyle name="一般_99FINALN" xfId="132"/>
    <cellStyle name="千位分隔 2" xfId="133"/>
    <cellStyle name="千分位_H&amp;S" xfId="135"/>
    <cellStyle name="千分位[0]_PSHS9508" xfId="134"/>
    <cellStyle name="常规 2" xfId="136"/>
    <cellStyle name="常规 3" xfId="137"/>
    <cellStyle name="常规 4" xfId="138"/>
    <cellStyle name="普通_H&amp;S" xfId="139"/>
    <cellStyle name="样式 1" xfId="140"/>
    <cellStyle name="样式 1 2" xfId="141"/>
    <cellStyle name="样式 1 3" xfId="142"/>
    <cellStyle name="样式 10" xfId="143"/>
    <cellStyle name="样式 11" xfId="144"/>
    <cellStyle name="样式 12" xfId="145"/>
    <cellStyle name="样式 13" xfId="146"/>
    <cellStyle name="样式 14" xfId="147"/>
    <cellStyle name="样式 15" xfId="148"/>
    <cellStyle name="样式 16" xfId="149"/>
    <cellStyle name="样式 17" xfId="150"/>
    <cellStyle name="样式 18" xfId="151"/>
    <cellStyle name="样式 19" xfId="152"/>
    <cellStyle name="样式 2" xfId="153"/>
    <cellStyle name="样式 20" xfId="154"/>
    <cellStyle name="样式 21" xfId="155"/>
    <cellStyle name="样式 22" xfId="156"/>
    <cellStyle name="样式 23" xfId="157"/>
    <cellStyle name="样式 24" xfId="158"/>
    <cellStyle name="样式 25" xfId="159"/>
    <cellStyle name="样式 26" xfId="160"/>
    <cellStyle name="样式 27" xfId="161"/>
    <cellStyle name="样式 28" xfId="162"/>
    <cellStyle name="样式 29" xfId="163"/>
    <cellStyle name="样式 3" xfId="164"/>
    <cellStyle name="样式 30" xfId="165"/>
    <cellStyle name="样式 31" xfId="166"/>
    <cellStyle name="样式 32" xfId="167"/>
    <cellStyle name="样式 33" xfId="168"/>
    <cellStyle name="样式 34" xfId="169"/>
    <cellStyle name="样式 35" xfId="170"/>
    <cellStyle name="样式 36" xfId="171"/>
    <cellStyle name="样式 37" xfId="172"/>
    <cellStyle name="样式 38" xfId="173"/>
    <cellStyle name="样式 39" xfId="174"/>
    <cellStyle name="样式 4" xfId="175"/>
    <cellStyle name="样式 40" xfId="176"/>
    <cellStyle name="样式 41" xfId="177"/>
    <cellStyle name="样式 42" xfId="178"/>
    <cellStyle name="样式 43" xfId="179"/>
    <cellStyle name="样式 44" xfId="180"/>
    <cellStyle name="样式 45" xfId="181"/>
    <cellStyle name="样式 46" xfId="182"/>
    <cellStyle name="样式 47" xfId="183"/>
    <cellStyle name="样式 48" xfId="184"/>
    <cellStyle name="样式 49" xfId="185"/>
    <cellStyle name="样式 5" xfId="186"/>
    <cellStyle name="样式 50" xfId="187"/>
    <cellStyle name="样式 6" xfId="188"/>
    <cellStyle name="样式 7" xfId="189"/>
    <cellStyle name="样式 8" xfId="190"/>
    <cellStyle name="样式 9" xfId="19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23" Type="http://schemas.openxmlformats.org/officeDocument/2006/relationships/customXml" Target="../customXml/item1.xml"/><Relationship Id="rId24" Type="http://schemas.openxmlformats.org/officeDocument/2006/relationships/customXml" Target="../customXml/item2.xml"/><Relationship Id="rId25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2381250</xdr:colOff>
      <xdr:row>1</xdr:row>
      <xdr:rowOff>38100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1925"/>
          <a:ext cx="23812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</xdr:col>
      <xdr:colOff>295275</xdr:colOff>
      <xdr:row>2</xdr:row>
      <xdr:rowOff>38100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3813"/>
          <a:ext cx="5095875" cy="3952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19050</xdr:rowOff>
    </xdr:from>
    <xdr:to>
      <xdr:col>1</xdr:col>
      <xdr:colOff>1123950</xdr:colOff>
      <xdr:row>2</xdr:row>
      <xdr:rowOff>57150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80975"/>
          <a:ext cx="23812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1</xdr:col>
      <xdr:colOff>1038225</xdr:colOff>
      <xdr:row>22</xdr:row>
      <xdr:rowOff>0</xdr:rowOff>
    </xdr:to>
    <xdr:pic>
      <xdr:nvPicPr>
        <xdr:cNvPr id="922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924800"/>
          <a:ext cx="2343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19050</xdr:rowOff>
    </xdr:from>
    <xdr:to>
      <xdr:col>1</xdr:col>
      <xdr:colOff>1123950</xdr:colOff>
      <xdr:row>2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80975"/>
          <a:ext cx="23812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1</xdr:col>
      <xdr:colOff>1038225</xdr:colOff>
      <xdr:row>26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52900"/>
          <a:ext cx="2343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19050</xdr:rowOff>
    </xdr:from>
    <xdr:to>
      <xdr:col>1</xdr:col>
      <xdr:colOff>335280</xdr:colOff>
      <xdr:row>2</xdr:row>
      <xdr:rowOff>57150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81610"/>
          <a:ext cx="3691255" cy="353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161925</xdr:colOff>
      <xdr:row>24</xdr:row>
      <xdr:rowOff>66675</xdr:rowOff>
    </xdr:from>
    <xdr:to>
      <xdr:col>1</xdr:col>
      <xdr:colOff>1200150</xdr:colOff>
      <xdr:row>24</xdr:row>
      <xdr:rowOff>66675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4972050"/>
          <a:ext cx="4105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1</xdr:col>
      <xdr:colOff>1038225</xdr:colOff>
      <xdr:row>27</xdr:row>
      <xdr:rowOff>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62450"/>
          <a:ext cx="2457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1</xdr:col>
      <xdr:colOff>1038225</xdr:colOff>
      <xdr:row>27</xdr:row>
      <xdr:rowOff>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48150"/>
          <a:ext cx="2943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1</xdr:col>
      <xdr:colOff>1038225</xdr:colOff>
      <xdr:row>27</xdr:row>
      <xdr:rowOff>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49240"/>
          <a:ext cx="4101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1</xdr:col>
      <xdr:colOff>1038225</xdr:colOff>
      <xdr:row>27</xdr:row>
      <xdr:rowOff>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49240"/>
          <a:ext cx="41014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19050</xdr:rowOff>
    </xdr:from>
    <xdr:to>
      <xdr:col>1</xdr:col>
      <xdr:colOff>1123950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86690"/>
          <a:ext cx="4063365" cy="35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1</xdr:col>
      <xdr:colOff>1038225</xdr:colOff>
      <xdr:row>26</xdr:row>
      <xdr:rowOff>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43500"/>
          <a:ext cx="40252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1</xdr:col>
      <xdr:colOff>1038225</xdr:colOff>
      <xdr:row>26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43500"/>
          <a:ext cx="40252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19050</xdr:rowOff>
    </xdr:from>
    <xdr:to>
      <xdr:col>1</xdr:col>
      <xdr:colOff>1123950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86690"/>
          <a:ext cx="4276725" cy="35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1</xdr:col>
      <xdr:colOff>1038225</xdr:colOff>
      <xdr:row>26</xdr:row>
      <xdr:rowOff>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43500"/>
          <a:ext cx="4238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1</xdr:col>
      <xdr:colOff>1038225</xdr:colOff>
      <xdr:row>26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43500"/>
          <a:ext cx="4238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19050</xdr:rowOff>
    </xdr:from>
    <xdr:to>
      <xdr:col>1</xdr:col>
      <xdr:colOff>1123950</xdr:colOff>
      <xdr:row>2</xdr:row>
      <xdr:rowOff>57150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80975"/>
          <a:ext cx="24955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1</xdr:col>
      <xdr:colOff>1038225</xdr:colOff>
      <xdr:row>16</xdr:row>
      <xdr:rowOff>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52825"/>
          <a:ext cx="2457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1</xdr:col>
      <xdr:colOff>1038225</xdr:colOff>
      <xdr:row>23</xdr:row>
      <xdr:rowOff>0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62450"/>
          <a:ext cx="2457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1</xdr:col>
      <xdr:colOff>1038225</xdr:colOff>
      <xdr:row>23</xdr:row>
      <xdr:rowOff>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76775"/>
          <a:ext cx="2857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1</xdr:col>
      <xdr:colOff>1038225</xdr:colOff>
      <xdr:row>23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76775"/>
          <a:ext cx="2857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1</xdr:col>
      <xdr:colOff>1038225</xdr:colOff>
      <xdr:row>16</xdr:row>
      <xdr:rowOff>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665220"/>
          <a:ext cx="38728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1</xdr:col>
      <xdr:colOff>1038225</xdr:colOff>
      <xdr:row>23</xdr:row>
      <xdr:rowOff>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98720"/>
          <a:ext cx="38728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1</xdr:col>
      <xdr:colOff>1038225</xdr:colOff>
      <xdr:row>23</xdr:row>
      <xdr:rowOff>0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98720"/>
          <a:ext cx="38728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1</xdr:col>
      <xdr:colOff>1038225</xdr:colOff>
      <xdr:row>23</xdr:row>
      <xdr:rowOff>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98720"/>
          <a:ext cx="387286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19050</xdr:rowOff>
    </xdr:from>
    <xdr:to>
      <xdr:col>1</xdr:col>
      <xdr:colOff>802640</xdr:colOff>
      <xdr:row>2</xdr:row>
      <xdr:rowOff>57150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81610"/>
          <a:ext cx="3183255" cy="353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1</xdr:col>
      <xdr:colOff>1038225</xdr:colOff>
      <xdr:row>20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48150"/>
          <a:ext cx="2409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923925</xdr:colOff>
      <xdr:row>2</xdr:row>
      <xdr:rowOff>38100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1925"/>
          <a:ext cx="24384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19050</xdr:rowOff>
    </xdr:from>
    <xdr:to>
      <xdr:col>3</xdr:col>
      <xdr:colOff>314960</xdr:colOff>
      <xdr:row>1</xdr:row>
      <xdr:rowOff>57150</xdr:rowOff>
    </xdr:to>
    <xdr:pic>
      <xdr:nvPicPr>
        <xdr:cNvPr id="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9050"/>
          <a:ext cx="3366135" cy="353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1661;&#29260;8&#33267;10&#26376;&#20215;&#26684;&#34920;&#20215;&#266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774;&#22791;&#23548;&#20837;&#30340;&#26684;&#2433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H/Dropbox/KO%20(1)/Swire_Cofco_Inde%20Master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2511;&#31661;&#21271;&#20140;%20(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797;&#20214;%20&#35199;&#23433;&#20998;&#20247;&#23186;&#20307;&#26376;&#24230;&#25253;&#34920;06.04.03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312;&#22806;&#23186;&#20307;&#35774;&#22791;&#30424;&#28857;&#34920;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劲浪8下至9上"/>
      <sheetName val="益达8下至9上"/>
      <sheetName val="益达9下至10上"/>
      <sheetName val="制作费"/>
      <sheetName val="temp2"/>
      <sheetName val="TEMP"/>
      <sheetName val="媒体"/>
      <sheetName val="套装"/>
      <sheetName val="O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辅助资料___设备型号"/>
      <sheetName val="设备属性"/>
      <sheetName val="设备状态"/>
      <sheetName val="设备类别"/>
      <sheetName val="播放方式"/>
      <sheetName val="播放媒介"/>
      <sheetName val="辅助资料___设备规格"/>
    </sheetNames>
    <sheetDataSet>
      <sheetData sheetId="0"/>
      <sheetData sheetId="1">
        <row r="2">
          <cell r="A2" t="str">
            <v>SVA1771</v>
          </cell>
        </row>
        <row r="3">
          <cell r="A3" t="str">
            <v>SVA1772</v>
          </cell>
        </row>
        <row r="4">
          <cell r="A4" t="str">
            <v>SVA1772-A</v>
          </cell>
        </row>
        <row r="5">
          <cell r="A5" t="str">
            <v>SVA1781</v>
          </cell>
        </row>
        <row r="6">
          <cell r="A6" t="str">
            <v>SVA1782</v>
          </cell>
        </row>
        <row r="7">
          <cell r="A7" t="str">
            <v>SVA1071</v>
          </cell>
        </row>
        <row r="8">
          <cell r="A8" t="str">
            <v>HK102WL</v>
          </cell>
        </row>
        <row r="9">
          <cell r="A9" t="str">
            <v>SVA1529A</v>
          </cell>
        </row>
        <row r="10">
          <cell r="A10" t="str">
            <v>SVA1507</v>
          </cell>
        </row>
        <row r="11">
          <cell r="A11" t="str">
            <v>源创1710</v>
          </cell>
        </row>
        <row r="12">
          <cell r="A12" t="str">
            <v>源创1712</v>
          </cell>
        </row>
        <row r="13">
          <cell r="A13" t="str">
            <v>1511-201</v>
          </cell>
        </row>
        <row r="14">
          <cell r="A14" t="str">
            <v>1511-301</v>
          </cell>
        </row>
        <row r="15">
          <cell r="A15" t="str">
            <v>1511-401</v>
          </cell>
        </row>
        <row r="16">
          <cell r="A16" t="str">
            <v>1511-501</v>
          </cell>
        </row>
        <row r="17">
          <cell r="A17" t="str">
            <v>1811-401</v>
          </cell>
        </row>
        <row r="18">
          <cell r="A18" t="str">
            <v>PM170CV</v>
          </cell>
        </row>
        <row r="19">
          <cell r="A19" t="str">
            <v>SK151T</v>
          </cell>
        </row>
        <row r="20">
          <cell r="A20" t="str">
            <v>1710-CF</v>
          </cell>
        </row>
        <row r="21">
          <cell r="A21" t="str">
            <v>1712-CF</v>
          </cell>
        </row>
        <row r="22">
          <cell r="A22" t="str">
            <v>PDP</v>
          </cell>
        </row>
        <row r="23">
          <cell r="A23" t="str">
            <v>等离子</v>
          </cell>
        </row>
        <row r="24">
          <cell r="A24" t="str">
            <v>雅佳</v>
          </cell>
        </row>
        <row r="25">
          <cell r="A25" t="str">
            <v>17寸长虹</v>
          </cell>
        </row>
        <row r="26">
          <cell r="A26" t="str">
            <v>1710-DVD</v>
          </cell>
        </row>
        <row r="27">
          <cell r="A27" t="str">
            <v>1712-DVD</v>
          </cell>
        </row>
        <row r="28">
          <cell r="A28" t="str">
            <v>其他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ke"/>
      <sheetName val="Sprite"/>
      <sheetName val="Fanta"/>
      <sheetName val="Lan Feng"/>
      <sheetName val="Smart"/>
      <sheetName val="Coke Inc"/>
      <sheetName val="Sprite Inc"/>
      <sheetName val="Fanta Incr"/>
      <sheetName val="Smart Inc"/>
      <sheetName val="TYD-Tea"/>
      <sheetName val="Coke-c"/>
      <sheetName val="Sprite-c"/>
      <sheetName val="Inde."/>
      <sheetName val="Swire"/>
      <sheetName val="Cofco"/>
      <sheetName val="Coke(#ofwks)"/>
      <sheetName val="Sprite(#ofwks)"/>
      <sheetName val="TYD Water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EMP"/>
      <sheetName val="详细版报价"/>
      <sheetName val="QUOTATION"/>
    </sheetNames>
    <sheetDataSet>
      <sheetData sheetId="0">
        <row r="1">
          <cell r="A1" t="str">
            <v>12封站台灯箱</v>
          </cell>
          <cell r="B1" t="str">
            <v>PL12</v>
          </cell>
        </row>
        <row r="2">
          <cell r="A2" t="str">
            <v>12封站厅灯箱</v>
          </cell>
          <cell r="B2" t="str">
            <v>CCL12</v>
          </cell>
        </row>
        <row r="3">
          <cell r="A3" t="str">
            <v>6封灯箱</v>
          </cell>
          <cell r="B3" t="str">
            <v>NL06</v>
          </cell>
        </row>
        <row r="4">
          <cell r="A4" t="str">
            <v>宝丽布外打灯看板</v>
          </cell>
          <cell r="B4" t="str">
            <v>BLBB</v>
          </cell>
        </row>
        <row r="5">
          <cell r="A5" t="str">
            <v>玻璃面胶贴</v>
          </cell>
          <cell r="B5" t="str">
            <v>BLMS</v>
          </cell>
        </row>
        <row r="6">
          <cell r="A6" t="str">
            <v>超级看板</v>
          </cell>
          <cell r="B6" t="str">
            <v>SupB</v>
          </cell>
        </row>
        <row r="7">
          <cell r="A7" t="str">
            <v>车内广告</v>
          </cell>
          <cell r="B7" t="str">
            <v>TinS</v>
          </cell>
        </row>
        <row r="8">
          <cell r="A8" t="str">
            <v>车身外包广告</v>
          </cell>
          <cell r="B8" t="str">
            <v>TouB</v>
          </cell>
        </row>
        <row r="9">
          <cell r="A9" t="str">
            <v>出入口墙贴</v>
          </cell>
          <cell r="B9" t="str">
            <v>EntS</v>
          </cell>
        </row>
        <row r="10">
          <cell r="A10" t="str">
            <v>扶梯侧墙海报</v>
          </cell>
          <cell r="B10" t="str">
            <v>EscP</v>
          </cell>
        </row>
        <row r="11">
          <cell r="A11" t="str">
            <v>扶梯小灯箱</v>
          </cell>
          <cell r="B11" t="str">
            <v>EscL</v>
          </cell>
        </row>
        <row r="12">
          <cell r="A12" t="str">
            <v>检票机</v>
          </cell>
          <cell r="B12" t="str">
            <v>ScaP</v>
          </cell>
        </row>
        <row r="13">
          <cell r="A13" t="str">
            <v>明珠线特殊位看板</v>
          </cell>
          <cell r="B13" t="str">
            <v>SpeB</v>
          </cell>
        </row>
        <row r="14">
          <cell r="A14" t="str">
            <v>品牌车站</v>
          </cell>
          <cell r="B14" t="str">
            <v>BraS</v>
          </cell>
        </row>
        <row r="15">
          <cell r="A15" t="str">
            <v>人民广场超级灯箱</v>
          </cell>
          <cell r="B15" t="str">
            <v>RSuL</v>
          </cell>
        </row>
        <row r="16">
          <cell r="A16" t="str">
            <v>人民广场超级看板</v>
          </cell>
          <cell r="B16" t="str">
            <v>RSuB</v>
          </cell>
        </row>
        <row r="17">
          <cell r="A17" t="str">
            <v>人民广场扶梯小灯箱</v>
          </cell>
          <cell r="B17" t="str">
            <v>REsL</v>
          </cell>
        </row>
        <row r="18">
          <cell r="A18" t="str">
            <v>实物展示</v>
          </cell>
          <cell r="B18" t="str">
            <v>Live</v>
          </cell>
        </row>
        <row r="19">
          <cell r="A19" t="str">
            <v>户外大牌</v>
          </cell>
          <cell r="B19" t="str">
            <v>out</v>
          </cell>
        </row>
        <row r="20">
          <cell r="A20" t="str">
            <v>品牌长廊</v>
          </cell>
          <cell r="B20" t="str">
            <v>BRGL</v>
          </cell>
        </row>
        <row r="21">
          <cell r="A21" t="str">
            <v>特殊位灯箱</v>
          </cell>
          <cell r="B21" t="str">
            <v>SpeL</v>
          </cell>
        </row>
        <row r="22">
          <cell r="A22" t="str">
            <v>站台层立柱</v>
          </cell>
          <cell r="B22" t="str">
            <v>PFuS</v>
          </cell>
        </row>
        <row r="23">
          <cell r="A23" t="str">
            <v>站厅层立柱</v>
          </cell>
          <cell r="B23" t="str">
            <v>CFuS</v>
          </cell>
        </row>
        <row r="24">
          <cell r="A24" t="str">
            <v>站厅通道墙贴</v>
          </cell>
          <cell r="B24" t="str">
            <v>PasS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媒体设备安装明细表"/>
      <sheetName val="收发存月报表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1李健健"/>
      <sheetName val="1张吉祥"/>
      <sheetName val="2李浩君"/>
      <sheetName val="2牛加路"/>
      <sheetName val="3吴延峰"/>
      <sheetName val="3魏仁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写字楼</v>
          </cell>
          <cell r="C1" t="str">
            <v xml:space="preserve">10.4寸DVD广告机 </v>
          </cell>
        </row>
        <row r="2">
          <cell r="A2" t="str">
            <v>公寓</v>
          </cell>
          <cell r="C2" t="str">
            <v>10.4寸CF卡镜面广告机</v>
          </cell>
        </row>
        <row r="3">
          <cell r="A3" t="str">
            <v>医院</v>
          </cell>
          <cell r="C3" t="str">
            <v>15寸CF卡镜面广告机</v>
          </cell>
        </row>
        <row r="4">
          <cell r="A4" t="str">
            <v>大卖场</v>
          </cell>
          <cell r="C4" t="str">
            <v xml:space="preserve">17寸DVD广告机 </v>
          </cell>
        </row>
        <row r="5">
          <cell r="A5" t="str">
            <v>标准超市</v>
          </cell>
          <cell r="C5" t="str">
            <v xml:space="preserve">17寸DVD镜面广告机 </v>
          </cell>
        </row>
        <row r="6">
          <cell r="A6" t="str">
            <v>4S店</v>
          </cell>
          <cell r="C6" t="str">
            <v xml:space="preserve">17寸CF卡广告机 </v>
          </cell>
        </row>
        <row r="7">
          <cell r="A7" t="str">
            <v>高尔夫</v>
          </cell>
          <cell r="C7" t="str">
            <v>17寸CF卡镜面广告机</v>
          </cell>
        </row>
        <row r="8">
          <cell r="A8" t="str">
            <v>美容美发</v>
          </cell>
          <cell r="C8" t="str">
            <v xml:space="preserve">17寸CF卡镜面车载广告机 </v>
          </cell>
        </row>
        <row r="9">
          <cell r="A9" t="str">
            <v>商场</v>
          </cell>
          <cell r="C9" t="str">
            <v xml:space="preserve">17寸硬盘机 </v>
          </cell>
        </row>
        <row r="10">
          <cell r="A10" t="str">
            <v>餐厅酒楼</v>
          </cell>
          <cell r="C10" t="str">
            <v>19寸CF卡镜面广告机</v>
          </cell>
        </row>
        <row r="11">
          <cell r="A11" t="str">
            <v>机场快线</v>
          </cell>
          <cell r="C11" t="str">
            <v>30寸CF卡镜面广告机</v>
          </cell>
        </row>
        <row r="12">
          <cell r="A12" t="str">
            <v>机场</v>
          </cell>
          <cell r="C12" t="str">
            <v xml:space="preserve">42寸PDP </v>
          </cell>
        </row>
        <row r="13">
          <cell r="C13" t="str">
            <v>50寸PDP</v>
          </cell>
        </row>
        <row r="14">
          <cell r="C14" t="str">
            <v>84寸PDP</v>
          </cell>
        </row>
        <row r="15">
          <cell r="C15" t="str">
            <v xml:space="preserve">液晶电视1718 </v>
          </cell>
        </row>
        <row r="16">
          <cell r="C16" t="str">
            <v xml:space="preserve">液晶电视3018 </v>
          </cell>
        </row>
        <row r="17">
          <cell r="C17" t="str">
            <v xml:space="preserve">液晶电视3218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zoomScale="125" zoomScaleNormal="125" zoomScalePageLayoutView="125" workbookViewId="0">
      <selection activeCell="A63" sqref="A63"/>
    </sheetView>
  </sheetViews>
  <sheetFormatPr baseColWidth="10" defaultColWidth="8.83203125" defaultRowHeight="12" x14ac:dyDescent="0"/>
  <cols>
    <col min="1" max="1" width="135.33203125" customWidth="1"/>
  </cols>
  <sheetData>
    <row r="1" spans="1:1" s="1" customFormat="1" ht="25.5" customHeight="1"/>
    <row r="2" spans="1:1" s="1" customFormat="1" ht="18">
      <c r="A2" s="2" t="s">
        <v>0</v>
      </c>
    </row>
    <row r="3" spans="1:1" s="1" customFormat="1" ht="18">
      <c r="A3" s="2" t="s">
        <v>1</v>
      </c>
    </row>
    <row r="4" spans="1:1" s="1" customFormat="1" ht="13"/>
    <row r="5" spans="1:1" ht="18" customHeight="1">
      <c r="A5" s="22" t="s">
        <v>2</v>
      </c>
    </row>
    <row r="6" spans="1:1" ht="15" customHeight="1">
      <c r="A6" s="24" t="s">
        <v>3</v>
      </c>
    </row>
    <row r="7" spans="1:1" ht="15" customHeight="1">
      <c r="A7" s="25" t="s">
        <v>4</v>
      </c>
    </row>
    <row r="8" spans="1:1" ht="15" customHeight="1">
      <c r="A8" s="25" t="s">
        <v>5</v>
      </c>
    </row>
    <row r="9" spans="1:1" ht="15" customHeight="1">
      <c r="A9" s="26" t="s">
        <v>6</v>
      </c>
    </row>
    <row r="10" spans="1:1" ht="15" customHeight="1">
      <c r="A10" s="26" t="s">
        <v>7</v>
      </c>
    </row>
    <row r="11" spans="1:1" ht="15" customHeight="1">
      <c r="A11" s="27" t="s">
        <v>8</v>
      </c>
    </row>
    <row r="12" spans="1:1" ht="15" customHeight="1"/>
    <row r="13" spans="1:1" ht="15" customHeight="1">
      <c r="A13" s="23" t="s">
        <v>9</v>
      </c>
    </row>
    <row r="14" spans="1:1" s="137" customFormat="1" ht="15" customHeight="1">
      <c r="A14" s="136" t="s">
        <v>10</v>
      </c>
    </row>
    <row r="15" spans="1:1" s="137" customFormat="1" ht="15" customHeight="1">
      <c r="A15" s="138" t="s">
        <v>11</v>
      </c>
    </row>
    <row r="16" spans="1:1" s="137" customFormat="1" ht="15" customHeight="1">
      <c r="A16" s="139" t="s">
        <v>12</v>
      </c>
    </row>
    <row r="17" spans="1:1" s="137" customFormat="1" ht="15" customHeight="1">
      <c r="A17" s="139" t="s">
        <v>13</v>
      </c>
    </row>
    <row r="18" spans="1:1" s="137" customFormat="1" ht="15" customHeight="1">
      <c r="A18" s="135" t="s">
        <v>14</v>
      </c>
    </row>
    <row r="19" spans="1:1" s="137" customFormat="1" ht="9.75" customHeight="1">
      <c r="A19" s="140"/>
    </row>
    <row r="20" spans="1:1" s="137" customFormat="1" ht="12" customHeight="1">
      <c r="A20" s="141" t="s">
        <v>309</v>
      </c>
    </row>
    <row r="21" spans="1:1" s="137" customFormat="1" ht="29" customHeight="1">
      <c r="A21" s="135" t="s">
        <v>15</v>
      </c>
    </row>
    <row r="22" spans="1:1" s="137" customFormat="1" ht="12.75" customHeight="1">
      <c r="A22" s="135"/>
    </row>
    <row r="23" spans="1:1" s="137" customFormat="1" ht="12" customHeight="1">
      <c r="A23" s="141" t="s">
        <v>310</v>
      </c>
    </row>
    <row r="24" spans="1:1" s="137" customFormat="1" ht="13">
      <c r="A24" s="142" t="s">
        <v>16</v>
      </c>
    </row>
    <row r="25" spans="1:1" s="137" customFormat="1" ht="13">
      <c r="A25" s="142" t="s">
        <v>17</v>
      </c>
    </row>
    <row r="26" spans="1:1" s="137" customFormat="1" ht="13">
      <c r="A26" s="142" t="s">
        <v>18</v>
      </c>
    </row>
    <row r="27" spans="1:1" s="137" customFormat="1" ht="13">
      <c r="A27" s="142" t="s">
        <v>19</v>
      </c>
    </row>
    <row r="28" spans="1:1" s="137" customFormat="1" ht="13">
      <c r="A28" s="142" t="s">
        <v>20</v>
      </c>
    </row>
    <row r="29" spans="1:1" s="137" customFormat="1" ht="12.75" customHeight="1">
      <c r="A29" s="135"/>
    </row>
    <row r="30" spans="1:1" s="137" customFormat="1" ht="12.75" customHeight="1">
      <c r="A30" s="141" t="s">
        <v>311</v>
      </c>
    </row>
    <row r="31" spans="1:1" s="137" customFormat="1" ht="13.5" customHeight="1">
      <c r="A31" s="142" t="s">
        <v>21</v>
      </c>
    </row>
    <row r="32" spans="1:1" s="137" customFormat="1" ht="12" customHeight="1">
      <c r="A32" s="142"/>
    </row>
    <row r="33" spans="1:1" s="137" customFormat="1" ht="6" customHeight="1">
      <c r="A33" s="143"/>
    </row>
    <row r="34" spans="1:1" s="137" customFormat="1" ht="16.5" customHeight="1">
      <c r="A34" s="136" t="s">
        <v>312</v>
      </c>
    </row>
    <row r="35" spans="1:1" s="137" customFormat="1" ht="6" customHeight="1">
      <c r="A35" s="257"/>
    </row>
    <row r="36" spans="1:1" s="137" customFormat="1" ht="13">
      <c r="A36" s="144" t="s">
        <v>22</v>
      </c>
    </row>
    <row r="37" spans="1:1" s="137" customFormat="1" ht="11.25" customHeight="1">
      <c r="A37" s="139" t="s">
        <v>313</v>
      </c>
    </row>
    <row r="38" spans="1:1" s="137" customFormat="1" ht="11.25" customHeight="1">
      <c r="A38" s="139" t="s">
        <v>23</v>
      </c>
    </row>
    <row r="39" spans="1:1" s="137" customFormat="1" ht="11.25" customHeight="1">
      <c r="A39" s="139" t="s">
        <v>24</v>
      </c>
    </row>
    <row r="40" spans="1:1" s="137" customFormat="1" ht="11.25" customHeight="1">
      <c r="A40" s="258"/>
    </row>
  </sheetData>
  <phoneticPr fontId="9" type="noConversion"/>
  <pageMargins left="0.25" right="0.25" top="0.25" bottom="0.25" header="0.5" footer="0.5"/>
  <pageSetup scale="80" orientation="landscape"/>
  <headerFooter alignWithMargins="0"/>
  <rowBreaks count="1" manualBreakCount="1">
    <brk id="44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G42"/>
  <sheetViews>
    <sheetView showGridLines="0" view="pageLayout" zoomScale="125" zoomScaleNormal="60" zoomScalePageLayoutView="60" workbookViewId="0">
      <selection activeCell="E41" sqref="E41"/>
    </sheetView>
  </sheetViews>
  <sheetFormatPr baseColWidth="10" defaultColWidth="9.1640625" defaultRowHeight="15" x14ac:dyDescent="0"/>
  <cols>
    <col min="1" max="1" width="32.83203125" style="118" customWidth="1"/>
    <col min="2" max="2" width="23.5" style="118" customWidth="1"/>
    <col min="3" max="3" width="18.1640625" style="118" customWidth="1"/>
    <col min="4" max="4" width="20.1640625" style="118" customWidth="1"/>
    <col min="5" max="5" width="13.33203125" style="118" customWidth="1"/>
    <col min="6" max="6" width="14.33203125" style="130" customWidth="1"/>
    <col min="7" max="7" width="21.83203125" style="118" customWidth="1"/>
    <col min="8" max="8" width="31.5" style="118" customWidth="1"/>
    <col min="9" max="16384" width="9.1640625" style="118"/>
  </cols>
  <sheetData>
    <row r="3" spans="1:7" ht="18">
      <c r="A3" s="2" t="s">
        <v>98</v>
      </c>
      <c r="B3" s="2"/>
      <c r="C3" s="2"/>
      <c r="D3" s="1"/>
      <c r="E3" s="1"/>
    </row>
    <row r="4" spans="1:7">
      <c r="A4" s="117" t="s">
        <v>26</v>
      </c>
      <c r="B4" s="117"/>
      <c r="C4" s="117"/>
      <c r="D4" s="1"/>
      <c r="E4" s="1"/>
    </row>
    <row r="5" spans="1:7" ht="18">
      <c r="A5" s="38"/>
      <c r="B5" s="38"/>
      <c r="C5" s="38"/>
      <c r="D5" s="1"/>
      <c r="E5" s="1"/>
    </row>
    <row r="6" spans="1:7">
      <c r="A6" s="12" t="s">
        <v>27</v>
      </c>
      <c r="B6" s="3" t="s">
        <v>316</v>
      </c>
      <c r="E6" s="6"/>
    </row>
    <row r="7" spans="1:7">
      <c r="A7" s="12" t="s">
        <v>28</v>
      </c>
      <c r="B7" s="3" t="s">
        <v>314</v>
      </c>
      <c r="E7" s="6"/>
    </row>
    <row r="8" spans="1:7">
      <c r="A8" s="7" t="s">
        <v>29</v>
      </c>
      <c r="B8" s="28" t="s">
        <v>125</v>
      </c>
      <c r="E8"/>
    </row>
    <row r="9" spans="1:7">
      <c r="A9" s="7" t="s">
        <v>49</v>
      </c>
      <c r="B9" s="28" t="s">
        <v>126</v>
      </c>
      <c r="E9" s="14"/>
    </row>
    <row r="10" spans="1:7">
      <c r="A10" s="7" t="s">
        <v>31</v>
      </c>
      <c r="B10" s="10" t="s">
        <v>99</v>
      </c>
      <c r="E10" s="14"/>
    </row>
    <row r="11" spans="1:7">
      <c r="A11" s="14"/>
      <c r="B11" s="14"/>
      <c r="E11" s="14"/>
    </row>
    <row r="12" spans="1:7">
      <c r="A12" s="128" t="s">
        <v>100</v>
      </c>
      <c r="B12" s="14"/>
      <c r="E12" s="14"/>
    </row>
    <row r="13" spans="1:7">
      <c r="A13" s="129"/>
      <c r="B13" s="14"/>
      <c r="E13" s="14"/>
    </row>
    <row r="14" spans="1:7" ht="8.25" customHeight="1">
      <c r="A14" s="247"/>
      <c r="B14" s="247"/>
      <c r="C14" s="247"/>
      <c r="D14" s="248"/>
      <c r="E14" s="147"/>
      <c r="F14" s="131"/>
    </row>
    <row r="15" spans="1:7" s="119" customFormat="1" ht="16.5" customHeight="1">
      <c r="A15" s="243" t="s">
        <v>101</v>
      </c>
      <c r="B15" s="249" t="s">
        <v>102</v>
      </c>
      <c r="C15" s="249" t="s">
        <v>103</v>
      </c>
      <c r="D15" s="249" t="s">
        <v>104</v>
      </c>
      <c r="E15" s="249" t="s">
        <v>105</v>
      </c>
      <c r="F15" s="251" t="s">
        <v>106</v>
      </c>
      <c r="G15" s="245" t="s">
        <v>107</v>
      </c>
    </row>
    <row r="16" spans="1:7" s="119" customFormat="1" ht="50.25" customHeight="1">
      <c r="A16" s="244"/>
      <c r="B16" s="250"/>
      <c r="C16" s="250"/>
      <c r="D16" s="250"/>
      <c r="E16" s="250"/>
      <c r="F16" s="252"/>
      <c r="G16" s="246"/>
    </row>
    <row r="17" spans="1:7">
      <c r="A17" s="18" t="s">
        <v>284</v>
      </c>
      <c r="B17" s="123" t="s">
        <v>285</v>
      </c>
      <c r="C17" s="123" t="s">
        <v>283</v>
      </c>
      <c r="D17" s="121" t="s">
        <v>282</v>
      </c>
      <c r="E17" s="121" t="s">
        <v>109</v>
      </c>
      <c r="F17" s="158">
        <v>2000000</v>
      </c>
      <c r="G17" s="162">
        <v>7</v>
      </c>
    </row>
    <row r="18" spans="1:7">
      <c r="A18" s="18" t="s">
        <v>284</v>
      </c>
      <c r="B18" s="123" t="s">
        <v>285</v>
      </c>
      <c r="C18" s="125" t="s">
        <v>286</v>
      </c>
      <c r="D18" s="121" t="s">
        <v>287</v>
      </c>
      <c r="E18" s="121" t="s">
        <v>109</v>
      </c>
      <c r="F18" s="158">
        <v>2000000</v>
      </c>
      <c r="G18" s="162">
        <v>8</v>
      </c>
    </row>
    <row r="19" spans="1:7">
      <c r="A19" s="18" t="s">
        <v>284</v>
      </c>
      <c r="B19" s="123" t="s">
        <v>285</v>
      </c>
      <c r="C19" s="125" t="s">
        <v>108</v>
      </c>
      <c r="D19" s="121" t="s">
        <v>288</v>
      </c>
      <c r="E19" s="121" t="s">
        <v>109</v>
      </c>
      <c r="F19" s="158">
        <v>2000000</v>
      </c>
      <c r="G19" s="162">
        <v>8</v>
      </c>
    </row>
    <row r="20" spans="1:7">
      <c r="A20" s="18" t="s">
        <v>284</v>
      </c>
      <c r="B20" s="123" t="s">
        <v>285</v>
      </c>
      <c r="C20" s="125" t="s">
        <v>289</v>
      </c>
      <c r="D20" s="121"/>
      <c r="E20" s="121" t="s">
        <v>290</v>
      </c>
      <c r="F20" s="158">
        <v>2000000</v>
      </c>
      <c r="G20" s="162">
        <v>0.02</v>
      </c>
    </row>
    <row r="21" spans="1:7" s="122" customFormat="1">
      <c r="A21" s="18" t="s">
        <v>284</v>
      </c>
      <c r="B21" s="123" t="s">
        <v>285</v>
      </c>
      <c r="C21" s="125" t="s">
        <v>291</v>
      </c>
      <c r="D21" s="121" t="s">
        <v>292</v>
      </c>
      <c r="E21" s="121" t="s">
        <v>109</v>
      </c>
      <c r="F21" s="158">
        <v>2000000</v>
      </c>
      <c r="G21" s="162">
        <v>35</v>
      </c>
    </row>
    <row r="22" spans="1:7" s="122" customFormat="1">
      <c r="A22" s="18" t="s">
        <v>284</v>
      </c>
      <c r="B22" s="123" t="s">
        <v>285</v>
      </c>
      <c r="C22" s="125" t="s">
        <v>293</v>
      </c>
      <c r="D22" s="121" t="s">
        <v>294</v>
      </c>
      <c r="E22" s="121" t="s">
        <v>109</v>
      </c>
      <c r="F22" s="158">
        <v>2000000</v>
      </c>
      <c r="G22" s="162">
        <v>15</v>
      </c>
    </row>
    <row r="23" spans="1:7" s="122" customFormat="1">
      <c r="A23" s="161" t="s">
        <v>295</v>
      </c>
      <c r="B23" s="161" t="s">
        <v>302</v>
      </c>
      <c r="C23" s="161" t="s">
        <v>296</v>
      </c>
      <c r="D23" s="121" t="s">
        <v>297</v>
      </c>
      <c r="E23" s="121" t="s">
        <v>109</v>
      </c>
      <c r="F23" s="158">
        <v>3700000</v>
      </c>
      <c r="G23" s="163">
        <v>0.01</v>
      </c>
    </row>
    <row r="24" spans="1:7" s="122" customFormat="1">
      <c r="A24" s="161" t="s">
        <v>295</v>
      </c>
      <c r="B24" s="161" t="s">
        <v>302</v>
      </c>
      <c r="C24" s="161" t="s">
        <v>298</v>
      </c>
      <c r="D24" s="121" t="s">
        <v>299</v>
      </c>
      <c r="E24" s="121" t="s">
        <v>109</v>
      </c>
      <c r="F24" s="158">
        <v>3700000</v>
      </c>
      <c r="G24" s="163">
        <v>0.21</v>
      </c>
    </row>
    <row r="25" spans="1:7" s="122" customFormat="1">
      <c r="A25" s="161" t="s">
        <v>295</v>
      </c>
      <c r="B25" s="161" t="s">
        <v>302</v>
      </c>
      <c r="C25" s="161" t="s">
        <v>301</v>
      </c>
      <c r="D25" s="121" t="s">
        <v>300</v>
      </c>
      <c r="E25" s="121" t="s">
        <v>109</v>
      </c>
      <c r="F25" s="158">
        <v>3700000</v>
      </c>
      <c r="G25" s="163">
        <v>0.5</v>
      </c>
    </row>
    <row r="26" spans="1:7" s="122" customFormat="1" ht="27" customHeight="1">
      <c r="A26" s="120" t="s">
        <v>303</v>
      </c>
      <c r="B26" s="120" t="s">
        <v>304</v>
      </c>
      <c r="C26" s="120" t="s">
        <v>305</v>
      </c>
      <c r="D26" s="121"/>
      <c r="E26" s="121" t="s">
        <v>109</v>
      </c>
      <c r="F26" s="158">
        <v>2000000</v>
      </c>
      <c r="G26" s="162">
        <v>0.6</v>
      </c>
    </row>
    <row r="27" spans="1:7" s="122" customFormat="1">
      <c r="A27" s="159" t="s">
        <v>306</v>
      </c>
      <c r="B27" s="120" t="s">
        <v>281</v>
      </c>
      <c r="C27" s="125" t="s">
        <v>286</v>
      </c>
      <c r="D27" s="121" t="s">
        <v>287</v>
      </c>
      <c r="E27" s="121" t="s">
        <v>109</v>
      </c>
      <c r="F27" s="158">
        <v>2000000</v>
      </c>
      <c r="G27" s="162">
        <v>0.25</v>
      </c>
    </row>
    <row r="28" spans="1:7" s="122" customFormat="1">
      <c r="A28" s="120" t="s">
        <v>280</v>
      </c>
      <c r="B28" s="120" t="s">
        <v>281</v>
      </c>
      <c r="C28" s="120" t="s">
        <v>283</v>
      </c>
      <c r="D28" s="121" t="s">
        <v>282</v>
      </c>
      <c r="E28" s="121" t="s">
        <v>109</v>
      </c>
      <c r="F28" s="158">
        <v>1000000</v>
      </c>
      <c r="G28" s="162">
        <v>1.1475</v>
      </c>
    </row>
    <row r="29" spans="1:7" s="122" customFormat="1">
      <c r="A29" s="120" t="s">
        <v>280</v>
      </c>
      <c r="B29" s="120" t="s">
        <v>281</v>
      </c>
      <c r="C29" s="125" t="s">
        <v>286</v>
      </c>
      <c r="D29" s="121" t="s">
        <v>287</v>
      </c>
      <c r="E29" s="121" t="s">
        <v>109</v>
      </c>
      <c r="F29" s="158">
        <v>1000000</v>
      </c>
      <c r="G29" s="162">
        <v>0.63749999999999996</v>
      </c>
    </row>
    <row r="30" spans="1:7">
      <c r="A30" s="124" t="s">
        <v>307</v>
      </c>
      <c r="B30" s="123" t="s">
        <v>285</v>
      </c>
      <c r="C30" s="125" t="s">
        <v>286</v>
      </c>
      <c r="D30" s="121" t="s">
        <v>287</v>
      </c>
      <c r="E30" s="121" t="s">
        <v>109</v>
      </c>
      <c r="F30" s="158">
        <v>1000000</v>
      </c>
      <c r="G30" s="162">
        <v>3.4</v>
      </c>
    </row>
    <row r="31" spans="1:7">
      <c r="A31" s="124" t="s">
        <v>307</v>
      </c>
      <c r="B31" s="123" t="s">
        <v>285</v>
      </c>
      <c r="C31" s="125" t="s">
        <v>286</v>
      </c>
      <c r="D31" s="121" t="s">
        <v>287</v>
      </c>
      <c r="E31" s="121" t="s">
        <v>109</v>
      </c>
      <c r="F31" s="158">
        <v>1000000</v>
      </c>
      <c r="G31" s="162">
        <v>3.4</v>
      </c>
    </row>
    <row r="32" spans="1:7" s="122" customFormat="1">
      <c r="A32" s="124" t="s">
        <v>307</v>
      </c>
      <c r="B32" s="123" t="s">
        <v>285</v>
      </c>
      <c r="C32" s="125" t="s">
        <v>108</v>
      </c>
      <c r="D32" s="121" t="s">
        <v>288</v>
      </c>
      <c r="E32" s="121" t="s">
        <v>109</v>
      </c>
      <c r="F32" s="158">
        <v>2000000</v>
      </c>
      <c r="G32" s="162">
        <v>3.4</v>
      </c>
    </row>
    <row r="33" spans="1:7" s="122" customFormat="1">
      <c r="A33" s="124" t="s">
        <v>308</v>
      </c>
      <c r="B33" s="123" t="s">
        <v>285</v>
      </c>
      <c r="C33" s="125" t="s">
        <v>286</v>
      </c>
      <c r="D33" s="121" t="s">
        <v>287</v>
      </c>
      <c r="E33" s="121" t="s">
        <v>109</v>
      </c>
      <c r="F33" s="158">
        <v>1000000</v>
      </c>
      <c r="G33" s="162">
        <v>3.06</v>
      </c>
    </row>
    <row r="34" spans="1:7" s="122" customFormat="1">
      <c r="A34" s="161"/>
      <c r="B34" s="161"/>
      <c r="C34" s="161"/>
      <c r="D34" s="121"/>
      <c r="E34" s="121"/>
      <c r="F34" s="132"/>
      <c r="G34" s="163"/>
    </row>
    <row r="35" spans="1:7" s="122" customFormat="1">
      <c r="A35" s="161"/>
      <c r="B35" s="161"/>
      <c r="C35" s="161"/>
      <c r="D35" s="121"/>
      <c r="E35" s="121"/>
      <c r="F35" s="132"/>
      <c r="G35" s="163"/>
    </row>
    <row r="36" spans="1:7" s="122" customFormat="1">
      <c r="A36" s="161"/>
      <c r="B36" s="161"/>
      <c r="C36" s="161"/>
      <c r="D36" s="121"/>
      <c r="E36" s="121"/>
      <c r="F36" s="132"/>
      <c r="G36" s="163"/>
    </row>
    <row r="37" spans="1:7" s="122" customFormat="1">
      <c r="A37" s="161"/>
      <c r="B37" s="161"/>
      <c r="C37" s="161"/>
      <c r="D37" s="121"/>
      <c r="E37" s="121"/>
      <c r="F37" s="132"/>
      <c r="G37" s="163"/>
    </row>
    <row r="38" spans="1:7">
      <c r="A38" s="125"/>
      <c r="B38" s="125"/>
      <c r="C38" s="125"/>
      <c r="D38" s="126">
        <f>SUM(D17:D37)</f>
        <v>0</v>
      </c>
      <c r="E38" s="126"/>
      <c r="F38" s="132"/>
      <c r="G38" s="162"/>
    </row>
    <row r="40" spans="1:7" s="127" customFormat="1">
      <c r="F40" s="133"/>
    </row>
    <row r="41" spans="1:7" s="127" customFormat="1">
      <c r="F41" s="133"/>
    </row>
    <row r="42" spans="1:7" ht="68.25" customHeight="1"/>
  </sheetData>
  <mergeCells count="8">
    <mergeCell ref="A15:A16"/>
    <mergeCell ref="G15:G16"/>
    <mergeCell ref="A14:D14"/>
    <mergeCell ref="D15:D16"/>
    <mergeCell ref="F15:F16"/>
    <mergeCell ref="B15:B16"/>
    <mergeCell ref="C15:C16"/>
    <mergeCell ref="E15:E16"/>
  </mergeCells>
  <phoneticPr fontId="9" type="noConversion"/>
  <printOptions horizontalCentered="1"/>
  <pageMargins left="0.15748031496063" right="0.15748031496063" top="0.31" bottom="0.98425196850393704" header="0.17" footer="0.511811023622047"/>
  <pageSetup paperSize="9" scale="81" orientation="landscape"/>
  <headerFooter alignWithMargins="0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J29"/>
  <sheetViews>
    <sheetView tabSelected="1" zoomScale="125" zoomScaleNormal="125" zoomScalePageLayoutView="125" workbookViewId="0">
      <selection activeCell="E41" sqref="E41"/>
    </sheetView>
  </sheetViews>
  <sheetFormatPr baseColWidth="10" defaultColWidth="9.1640625" defaultRowHeight="13" x14ac:dyDescent="0"/>
  <cols>
    <col min="1" max="1" width="19.5" style="1" customWidth="1"/>
    <col min="2" max="2" width="20.1640625" style="1" customWidth="1"/>
    <col min="3" max="3" width="15.6640625" style="1" customWidth="1"/>
    <col min="4" max="4" width="16" style="1" customWidth="1"/>
    <col min="5" max="5" width="14.1640625" style="1" customWidth="1"/>
    <col min="6" max="6" width="15" style="1" customWidth="1"/>
    <col min="7" max="7" width="18.6640625" style="1" customWidth="1"/>
    <col min="8" max="8" width="15.33203125" style="1" customWidth="1"/>
    <col min="9" max="9" width="39" style="1" customWidth="1"/>
    <col min="10" max="10" width="13.5" style="1" customWidth="1"/>
    <col min="11" max="16384" width="9.1640625" style="1"/>
  </cols>
  <sheetData>
    <row r="2" spans="1:9" ht="25.5" customHeight="1"/>
    <row r="3" spans="1:9" ht="18">
      <c r="A3" s="2" t="s">
        <v>110</v>
      </c>
    </row>
    <row r="4" spans="1:9">
      <c r="A4" s="117" t="s">
        <v>26</v>
      </c>
    </row>
    <row r="5" spans="1:9" ht="27.75" customHeight="1">
      <c r="A5" s="12" t="s">
        <v>27</v>
      </c>
      <c r="B5" s="3" t="s">
        <v>316</v>
      </c>
      <c r="C5" s="6"/>
    </row>
    <row r="6" spans="1:9" ht="26.25" customHeight="1">
      <c r="A6" s="12" t="s">
        <v>28</v>
      </c>
      <c r="B6" s="3" t="s">
        <v>314</v>
      </c>
    </row>
    <row r="7" spans="1:9" ht="15.75" customHeight="1">
      <c r="A7" s="7" t="s">
        <v>49</v>
      </c>
      <c r="B7" s="259">
        <v>41640</v>
      </c>
    </row>
    <row r="8" spans="1:9">
      <c r="A8" s="39"/>
    </row>
    <row r="9" spans="1:9" ht="15">
      <c r="A9" s="48" t="s">
        <v>111</v>
      </c>
    </row>
    <row r="10" spans="1:9" ht="15.75" customHeight="1">
      <c r="A10" s="13" t="s">
        <v>112</v>
      </c>
      <c r="B10" s="6"/>
    </row>
    <row r="11" spans="1:9">
      <c r="A11" s="46" t="s">
        <v>113</v>
      </c>
      <c r="B11" s="47"/>
      <c r="C11" s="47"/>
      <c r="D11" s="47"/>
      <c r="E11" s="47"/>
      <c r="F11" s="47"/>
    </row>
    <row r="12" spans="1:9">
      <c r="A12" s="7" t="s">
        <v>29</v>
      </c>
      <c r="B12" s="28" t="s">
        <v>125</v>
      </c>
      <c r="C12" s="8"/>
      <c r="D12" s="8"/>
      <c r="E12" s="8"/>
      <c r="F12" s="8"/>
      <c r="G12" s="8"/>
      <c r="H12" s="32"/>
      <c r="I12" s="33"/>
    </row>
    <row r="13" spans="1:9" ht="15" customHeight="1">
      <c r="A13" s="7" t="s">
        <v>31</v>
      </c>
      <c r="B13" s="7" t="s">
        <v>32</v>
      </c>
      <c r="C13" s="8"/>
      <c r="D13" s="8"/>
      <c r="E13" s="8"/>
      <c r="F13" s="8"/>
      <c r="G13" s="8"/>
      <c r="H13" s="32"/>
      <c r="I13" s="33"/>
    </row>
    <row r="14" spans="1:9" ht="15" customHeight="1">
      <c r="A14" s="7" t="s">
        <v>114</v>
      </c>
      <c r="B14" s="7" t="s">
        <v>115</v>
      </c>
      <c r="C14" s="8"/>
      <c r="D14" s="8"/>
      <c r="E14" s="8"/>
      <c r="F14" s="8"/>
      <c r="G14" s="8"/>
      <c r="H14" s="32"/>
      <c r="I14" s="33"/>
    </row>
    <row r="15" spans="1:9" ht="15" customHeight="1">
      <c r="A15" s="7" t="s">
        <v>35</v>
      </c>
      <c r="B15" s="10" t="s">
        <v>116</v>
      </c>
      <c r="C15" s="10"/>
      <c r="D15" s="10"/>
      <c r="E15" s="10"/>
      <c r="F15" s="10"/>
      <c r="G15" s="10"/>
      <c r="H15" s="3"/>
      <c r="I15" s="33"/>
    </row>
    <row r="17" spans="1:10" ht="39" customHeight="1">
      <c r="A17" s="211" t="s">
        <v>117</v>
      </c>
      <c r="B17" s="212" t="s">
        <v>118</v>
      </c>
      <c r="C17" s="212" t="s">
        <v>119</v>
      </c>
      <c r="D17" s="212" t="s">
        <v>120</v>
      </c>
      <c r="E17" s="212" t="s">
        <v>121</v>
      </c>
      <c r="F17" s="212" t="s">
        <v>328</v>
      </c>
      <c r="G17" s="212" t="s">
        <v>122</v>
      </c>
      <c r="H17" s="212" t="s">
        <v>123</v>
      </c>
      <c r="I17" s="212" t="s">
        <v>44</v>
      </c>
    </row>
    <row r="18" spans="1:10">
      <c r="A18" s="214" t="s">
        <v>329</v>
      </c>
      <c r="B18" s="229">
        <v>12.413394855977318</v>
      </c>
      <c r="C18" s="216">
        <v>0.11846552269919385</v>
      </c>
      <c r="D18" s="227">
        <v>640.19280000000003</v>
      </c>
      <c r="E18" s="231">
        <f>+D18/B18</f>
        <v>51.57274117416263</v>
      </c>
      <c r="F18" s="213" t="s">
        <v>354</v>
      </c>
      <c r="G18" s="190" t="s">
        <v>346</v>
      </c>
      <c r="H18" s="190">
        <v>0.3</v>
      </c>
      <c r="I18" s="213"/>
    </row>
    <row r="19" spans="1:10">
      <c r="A19" s="214" t="s">
        <v>330</v>
      </c>
      <c r="B19" s="229">
        <v>11.368735386299189</v>
      </c>
      <c r="C19" s="235">
        <v>0.10849595905009338</v>
      </c>
      <c r="D19" s="227">
        <v>431.12</v>
      </c>
      <c r="E19" s="237">
        <f t="shared" ref="E19:E23" si="0">+D19/B19</f>
        <v>37.921544072488125</v>
      </c>
      <c r="F19" s="213" t="s">
        <v>355</v>
      </c>
      <c r="G19" s="190" t="s">
        <v>346</v>
      </c>
      <c r="H19" s="190">
        <v>0.1</v>
      </c>
      <c r="I19" s="213"/>
      <c r="J19" s="193"/>
    </row>
    <row r="20" spans="1:10">
      <c r="A20" s="214" t="s">
        <v>331</v>
      </c>
      <c r="B20" s="229">
        <v>34.729826874284868</v>
      </c>
      <c r="C20" s="235">
        <v>0.33143931548536448</v>
      </c>
      <c r="D20" s="227">
        <v>1200.625</v>
      </c>
      <c r="E20" s="237">
        <f t="shared" si="0"/>
        <v>34.570428592864168</v>
      </c>
      <c r="F20" s="213" t="s">
        <v>356</v>
      </c>
      <c r="G20" s="190" t="s">
        <v>346</v>
      </c>
      <c r="H20" s="190">
        <v>0.25</v>
      </c>
      <c r="I20" s="213"/>
      <c r="J20" s="193"/>
    </row>
    <row r="21" spans="1:10">
      <c r="A21" s="214" t="s">
        <v>332</v>
      </c>
      <c r="B21" s="229">
        <v>23.184873886871301</v>
      </c>
      <c r="C21" s="235">
        <v>0.22126164804952994</v>
      </c>
      <c r="D21" s="227">
        <v>1591.2</v>
      </c>
      <c r="E21" s="237">
        <f t="shared" si="0"/>
        <v>68.630953429556286</v>
      </c>
      <c r="F21" s="213" t="s">
        <v>357</v>
      </c>
      <c r="G21" s="190" t="s">
        <v>346</v>
      </c>
      <c r="H21" s="190">
        <v>0.2</v>
      </c>
      <c r="I21" s="213"/>
      <c r="J21" s="193"/>
    </row>
    <row r="22" spans="1:10" ht="12.75" customHeight="1">
      <c r="A22" s="214" t="s">
        <v>333</v>
      </c>
      <c r="B22" s="229">
        <v>19.008069250286059</v>
      </c>
      <c r="C22" s="235">
        <v>0.18140088874666876</v>
      </c>
      <c r="D22" s="228">
        <v>861.47500000000002</v>
      </c>
      <c r="E22" s="237">
        <f t="shared" si="0"/>
        <v>45.321541533579762</v>
      </c>
      <c r="F22" s="213" t="s">
        <v>358</v>
      </c>
      <c r="G22" s="190" t="s">
        <v>346</v>
      </c>
      <c r="H22" s="190">
        <v>0.15</v>
      </c>
      <c r="I22" s="213"/>
      <c r="J22" s="193"/>
    </row>
    <row r="23" spans="1:10">
      <c r="A23" s="214" t="s">
        <v>353</v>
      </c>
      <c r="B23" s="229">
        <v>4.07997363315258</v>
      </c>
      <c r="C23" s="235">
        <v>3.8936665969149652E-2</v>
      </c>
      <c r="D23" s="228">
        <v>145.52000000000001</v>
      </c>
      <c r="E23" s="237">
        <f t="shared" si="0"/>
        <v>35.666897162655744</v>
      </c>
      <c r="F23" s="213" t="s">
        <v>359</v>
      </c>
      <c r="G23" s="190" t="s">
        <v>346</v>
      </c>
      <c r="H23" s="190">
        <v>0.15</v>
      </c>
      <c r="I23" s="213"/>
    </row>
    <row r="24" spans="1:10">
      <c r="A24" s="214"/>
      <c r="B24" s="230"/>
      <c r="C24" s="211"/>
      <c r="D24" s="213"/>
      <c r="E24" s="213"/>
      <c r="F24" s="213"/>
      <c r="G24" s="213"/>
      <c r="H24" s="213"/>
      <c r="I24" s="213"/>
    </row>
    <row r="25" spans="1:10">
      <c r="A25" s="214"/>
      <c r="B25" s="211"/>
      <c r="C25" s="211"/>
      <c r="D25" s="213"/>
      <c r="E25" s="213"/>
      <c r="F25" s="213"/>
      <c r="G25" s="213"/>
      <c r="H25" s="213"/>
      <c r="I25" s="213"/>
    </row>
    <row r="26" spans="1:10">
      <c r="A26" s="214"/>
      <c r="B26" s="211"/>
      <c r="C26" s="211"/>
      <c r="D26" s="213"/>
      <c r="E26" s="213"/>
      <c r="F26" s="213"/>
      <c r="G26" s="213"/>
      <c r="H26" s="213"/>
      <c r="I26" s="213"/>
    </row>
    <row r="27" spans="1:10" ht="12.75" customHeight="1">
      <c r="A27" s="215"/>
      <c r="B27" s="211"/>
      <c r="C27" s="211"/>
      <c r="D27" s="213"/>
      <c r="E27" s="213"/>
      <c r="F27" s="213"/>
      <c r="G27" s="213"/>
      <c r="H27" s="213"/>
      <c r="I27" s="213"/>
    </row>
    <row r="29" spans="1:10">
      <c r="A29" s="145" t="s">
        <v>124</v>
      </c>
    </row>
  </sheetData>
  <phoneticPr fontId="9" type="noConversion"/>
  <pageMargins left="0.5" right="0.25" top="0.5" bottom="0.5" header="0.5" footer="0.5"/>
  <pageSetup scale="68" orientation="landscape"/>
  <headerFooter alignWithMargins="0"/>
  <rowBreaks count="1" manualBreakCount="1">
    <brk id="32" max="16383" man="1"/>
  </rowBreaks>
  <colBreaks count="1" manualBreakCount="1">
    <brk id="10" max="1048575" man="1"/>
  </colBreaks>
  <drawing r:id="rId1"/>
  <extLst>
    <ext xmlns:mx="http://schemas.microsoft.com/office/mac/excel/2008/main" uri="{64002731-A6B0-56B0-2670-7721B7C09600}">
      <mx:PLV Mode="0" OnePage="0" WScale="65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>
      <selection activeCell="A40" sqref="A40"/>
    </sheetView>
  </sheetViews>
  <sheetFormatPr baseColWidth="10" defaultColWidth="8.83203125" defaultRowHeight="12" x14ac:dyDescent="0"/>
  <sheetData/>
  <phoneticPr fontId="9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H29"/>
  <sheetViews>
    <sheetView zoomScale="125" zoomScaleNormal="125" zoomScalePageLayoutView="125" workbookViewId="0">
      <selection activeCell="E41" sqref="E41"/>
    </sheetView>
  </sheetViews>
  <sheetFormatPr baseColWidth="10" defaultColWidth="9.1640625" defaultRowHeight="13" x14ac:dyDescent="0"/>
  <cols>
    <col min="1" max="1" width="42" style="1" customWidth="1"/>
    <col min="2" max="2" width="18" style="1" customWidth="1"/>
    <col min="3" max="3" width="10.6640625" style="1" customWidth="1"/>
    <col min="4" max="5" width="11.1640625" style="1" customWidth="1"/>
    <col min="6" max="7" width="10.83203125" style="1" customWidth="1"/>
    <col min="8" max="8" width="74.5" style="1" customWidth="1"/>
    <col min="9" max="16384" width="9.1640625" style="1"/>
  </cols>
  <sheetData>
    <row r="2" spans="1:8" ht="25.5" customHeight="1"/>
    <row r="3" spans="1:8" ht="18">
      <c r="A3" s="2" t="s">
        <v>25</v>
      </c>
    </row>
    <row r="4" spans="1:8">
      <c r="A4" s="117" t="s">
        <v>26</v>
      </c>
    </row>
    <row r="6" spans="1:8" ht="27.75" customHeight="1">
      <c r="A6" s="12" t="s">
        <v>27</v>
      </c>
      <c r="B6" s="172" t="s">
        <v>316</v>
      </c>
    </row>
    <row r="7" spans="1:8" ht="26.25" customHeight="1">
      <c r="A7" s="12" t="s">
        <v>28</v>
      </c>
      <c r="B7" s="3" t="s">
        <v>314</v>
      </c>
    </row>
    <row r="9" spans="1:8">
      <c r="A9" s="7" t="s">
        <v>29</v>
      </c>
      <c r="B9" s="28" t="s">
        <v>125</v>
      </c>
      <c r="C9" s="29"/>
    </row>
    <row r="10" spans="1:8">
      <c r="A10" s="7" t="s">
        <v>30</v>
      </c>
      <c r="B10" s="160">
        <v>41640</v>
      </c>
      <c r="C10" s="29"/>
    </row>
    <row r="11" spans="1:8" ht="15" customHeight="1">
      <c r="A11" s="7" t="s">
        <v>31</v>
      </c>
      <c r="B11" s="7" t="s">
        <v>32</v>
      </c>
      <c r="C11" s="9"/>
    </row>
    <row r="12" spans="1:8" ht="15" customHeight="1">
      <c r="A12" s="7" t="s">
        <v>33</v>
      </c>
      <c r="B12" s="31" t="s">
        <v>34</v>
      </c>
      <c r="C12" s="35" t="s">
        <v>127</v>
      </c>
    </row>
    <row r="13" spans="1:8" ht="15" customHeight="1">
      <c r="A13" s="7" t="s">
        <v>35</v>
      </c>
      <c r="B13" s="7" t="s">
        <v>36</v>
      </c>
      <c r="C13" s="9"/>
    </row>
    <row r="15" spans="1:8" ht="24" customHeight="1">
      <c r="A15" s="11" t="s">
        <v>37</v>
      </c>
      <c r="B15" s="5" t="s">
        <v>38</v>
      </c>
      <c r="C15" s="5" t="s">
        <v>39</v>
      </c>
      <c r="D15" s="5" t="s">
        <v>40</v>
      </c>
      <c r="E15" s="5" t="s">
        <v>41</v>
      </c>
      <c r="F15" s="5" t="s">
        <v>42</v>
      </c>
      <c r="G15" s="5" t="s">
        <v>43</v>
      </c>
      <c r="H15" s="5" t="s">
        <v>44</v>
      </c>
    </row>
    <row r="16" spans="1:8" ht="37" customHeight="1">
      <c r="A16" s="134" t="s">
        <v>131</v>
      </c>
      <c r="B16" s="167">
        <v>1030</v>
      </c>
      <c r="C16" s="164">
        <f>(B16-D16)/B16</f>
        <v>0.94640776699029117</v>
      </c>
      <c r="D16" s="232">
        <v>55.199999999999996</v>
      </c>
      <c r="E16" s="166">
        <v>0.15</v>
      </c>
      <c r="F16" s="167">
        <f t="shared" ref="F16:F17" si="0">D16*(1-E16)</f>
        <v>46.919999999999995</v>
      </c>
      <c r="G16" s="166">
        <v>0.15</v>
      </c>
      <c r="H16" s="34" t="s">
        <v>362</v>
      </c>
    </row>
    <row r="17" spans="1:8" ht="37" customHeight="1">
      <c r="A17" s="134" t="s">
        <v>188</v>
      </c>
      <c r="B17" s="167">
        <v>650</v>
      </c>
      <c r="C17" s="164">
        <f>(B17-D17)/B17</f>
        <v>0.94387692307692306</v>
      </c>
      <c r="D17" s="232">
        <v>36.480000000000004</v>
      </c>
      <c r="E17" s="166">
        <v>0.15</v>
      </c>
      <c r="F17" s="167">
        <f t="shared" si="0"/>
        <v>31.008000000000003</v>
      </c>
      <c r="G17" s="166">
        <v>0.15</v>
      </c>
      <c r="H17" s="34" t="s">
        <v>362</v>
      </c>
    </row>
    <row r="18" spans="1:8" ht="37" customHeight="1">
      <c r="A18" s="134" t="s">
        <v>132</v>
      </c>
      <c r="B18" s="167">
        <v>1700</v>
      </c>
      <c r="C18" s="164">
        <v>0.15</v>
      </c>
      <c r="D18" s="167">
        <f>B18*(1-C18)</f>
        <v>1445</v>
      </c>
      <c r="E18" s="166">
        <v>0.15</v>
      </c>
      <c r="F18" s="167">
        <f>D18*(1-E18)</f>
        <v>1228.25</v>
      </c>
      <c r="G18" s="166">
        <v>0.15</v>
      </c>
      <c r="H18" s="34" t="s">
        <v>360</v>
      </c>
    </row>
    <row r="19" spans="1:8" ht="37" customHeight="1">
      <c r="A19" s="134" t="s">
        <v>192</v>
      </c>
      <c r="B19" s="167">
        <f>(12.5*4.4*30)+(12.5*5.8*30)</f>
        <v>3825</v>
      </c>
      <c r="C19" s="164">
        <v>0.83</v>
      </c>
      <c r="D19" s="167">
        <f>B19*(1-C19)</f>
        <v>650.25000000000011</v>
      </c>
      <c r="E19" s="166">
        <v>0.15</v>
      </c>
      <c r="F19" s="167">
        <f t="shared" ref="F19:F27" si="1">D19*(1-E19)</f>
        <v>552.71250000000009</v>
      </c>
      <c r="G19" s="166">
        <v>0.15</v>
      </c>
      <c r="H19" s="34" t="s">
        <v>361</v>
      </c>
    </row>
    <row r="20" spans="1:8" ht="37" customHeight="1">
      <c r="A20" s="134" t="s">
        <v>128</v>
      </c>
      <c r="B20" s="167">
        <v>4802</v>
      </c>
      <c r="C20" s="164">
        <f t="shared" ref="C20:C27" si="2">(B20-D20)/B20</f>
        <v>0.98416284881299454</v>
      </c>
      <c r="D20" s="167">
        <f>1.69*45</f>
        <v>76.05</v>
      </c>
      <c r="E20" s="166">
        <v>0.15</v>
      </c>
      <c r="F20" s="167">
        <f t="shared" si="1"/>
        <v>64.642499999999998</v>
      </c>
      <c r="G20" s="166">
        <v>0.15</v>
      </c>
      <c r="H20" s="34" t="s">
        <v>362</v>
      </c>
    </row>
    <row r="21" spans="1:8" ht="37" customHeight="1">
      <c r="A21" s="134" t="s">
        <v>196</v>
      </c>
      <c r="B21" s="167">
        <v>4425</v>
      </c>
      <c r="C21" s="164">
        <f t="shared" si="2"/>
        <v>0.97732203389830496</v>
      </c>
      <c r="D21" s="167">
        <f>2.23*45</f>
        <v>100.35</v>
      </c>
      <c r="E21" s="166">
        <v>0.15</v>
      </c>
      <c r="F21" s="167">
        <f t="shared" si="1"/>
        <v>85.297499999999999</v>
      </c>
      <c r="G21" s="166">
        <v>0.15</v>
      </c>
      <c r="H21" s="34" t="s">
        <v>362</v>
      </c>
    </row>
    <row r="22" spans="1:8" ht="37" customHeight="1">
      <c r="A22" s="134" t="s">
        <v>129</v>
      </c>
      <c r="B22" s="167">
        <v>5105</v>
      </c>
      <c r="C22" s="164">
        <f t="shared" si="2"/>
        <v>0.93216062683643497</v>
      </c>
      <c r="D22" s="167">
        <f>72*4.81</f>
        <v>346.32</v>
      </c>
      <c r="E22" s="166">
        <v>0.15</v>
      </c>
      <c r="F22" s="167">
        <f t="shared" si="1"/>
        <v>294.37200000000001</v>
      </c>
      <c r="G22" s="166">
        <v>0.05</v>
      </c>
      <c r="H22" s="34" t="s">
        <v>347</v>
      </c>
    </row>
    <row r="23" spans="1:8" ht="37" customHeight="1">
      <c r="A23" s="134" t="s">
        <v>200</v>
      </c>
      <c r="B23" s="167">
        <v>2226</v>
      </c>
      <c r="C23" s="164">
        <f t="shared" si="2"/>
        <v>0.93304582210242593</v>
      </c>
      <c r="D23" s="167">
        <f>72*2.07</f>
        <v>149.04</v>
      </c>
      <c r="E23" s="166">
        <v>0.15</v>
      </c>
      <c r="F23" s="167">
        <f t="shared" si="1"/>
        <v>126.68399999999998</v>
      </c>
      <c r="G23" s="166">
        <v>0.15</v>
      </c>
      <c r="H23" s="34" t="s">
        <v>361</v>
      </c>
    </row>
    <row r="24" spans="1:8" ht="37" customHeight="1">
      <c r="A24" s="134" t="s">
        <v>262</v>
      </c>
      <c r="B24" s="167">
        <f>23*2.8*30</f>
        <v>1931.9999999999998</v>
      </c>
      <c r="C24" s="164">
        <f t="shared" si="2"/>
        <v>0.42857142857142849</v>
      </c>
      <c r="D24" s="167">
        <f>120*9.2</f>
        <v>1104</v>
      </c>
      <c r="E24" s="166">
        <v>0.15</v>
      </c>
      <c r="F24" s="167">
        <f t="shared" si="1"/>
        <v>938.4</v>
      </c>
      <c r="G24" s="166">
        <v>0.15</v>
      </c>
      <c r="H24" s="34" t="s">
        <v>362</v>
      </c>
    </row>
    <row r="25" spans="1:8" ht="37" customHeight="1">
      <c r="A25" s="134" t="s">
        <v>263</v>
      </c>
      <c r="B25" s="167">
        <f>17*2.2*30</f>
        <v>1122.0000000000002</v>
      </c>
      <c r="C25" s="164">
        <f t="shared" si="2"/>
        <v>0.92566844919786084</v>
      </c>
      <c r="D25" s="167">
        <f>60*1.39</f>
        <v>83.399999999999991</v>
      </c>
      <c r="E25" s="166">
        <v>0.15</v>
      </c>
      <c r="F25" s="167">
        <f t="shared" si="1"/>
        <v>70.889999999999986</v>
      </c>
      <c r="G25" s="166">
        <v>0.15</v>
      </c>
      <c r="H25" s="34" t="s">
        <v>315</v>
      </c>
    </row>
    <row r="26" spans="1:8" ht="37" customHeight="1">
      <c r="A26" s="134" t="s">
        <v>130</v>
      </c>
      <c r="B26" s="167">
        <v>1782</v>
      </c>
      <c r="C26" s="164">
        <f t="shared" si="2"/>
        <v>0.80162738496071828</v>
      </c>
      <c r="D26" s="167">
        <f>70*5.05</f>
        <v>353.5</v>
      </c>
      <c r="E26" s="166">
        <v>0.15</v>
      </c>
      <c r="F26" s="167">
        <f t="shared" si="1"/>
        <v>300.47499999999997</v>
      </c>
      <c r="G26" s="166">
        <v>0.15</v>
      </c>
      <c r="H26" s="34" t="s">
        <v>362</v>
      </c>
    </row>
    <row r="27" spans="1:8" ht="37" customHeight="1">
      <c r="A27" s="134" t="s">
        <v>207</v>
      </c>
      <c r="B27" s="167">
        <v>3000</v>
      </c>
      <c r="C27" s="164">
        <f t="shared" si="2"/>
        <v>0.5</v>
      </c>
      <c r="D27" s="167">
        <v>1500</v>
      </c>
      <c r="E27" s="166">
        <v>0.15</v>
      </c>
      <c r="F27" s="167">
        <f t="shared" si="1"/>
        <v>1275</v>
      </c>
      <c r="G27" s="166">
        <v>0.15</v>
      </c>
      <c r="H27" s="34" t="s">
        <v>364</v>
      </c>
    </row>
    <row r="28" spans="1:8" ht="37" customHeight="1">
      <c r="A28" s="134"/>
      <c r="B28" s="4"/>
      <c r="C28" s="164"/>
      <c r="D28" s="165"/>
      <c r="E28" s="4"/>
      <c r="F28" s="4"/>
      <c r="G28" s="4"/>
      <c r="H28" s="34"/>
    </row>
    <row r="29" spans="1:8" ht="24" customHeight="1">
      <c r="A29" s="11"/>
      <c r="B29" s="4"/>
      <c r="C29" s="164"/>
      <c r="D29" s="165"/>
      <c r="E29" s="4"/>
      <c r="F29" s="4"/>
      <c r="G29" s="4"/>
      <c r="H29" s="34"/>
    </row>
  </sheetData>
  <phoneticPr fontId="9" type="noConversion"/>
  <pageMargins left="0.25" right="0.25" top="0.5" bottom="0.5" header="0.5" footer="0.5"/>
  <pageSetup scale="52" orientation="landscape"/>
  <headerFooter alignWithMargins="0"/>
  <rowBreaks count="1" manualBreakCount="1">
    <brk id="47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48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H34"/>
  <sheetViews>
    <sheetView zoomScale="125" zoomScaleNormal="125" zoomScalePageLayoutView="125" workbookViewId="0">
      <selection activeCell="E41" sqref="E41"/>
    </sheetView>
  </sheetViews>
  <sheetFormatPr baseColWidth="10" defaultColWidth="9.1640625" defaultRowHeight="13" x14ac:dyDescent="0"/>
  <cols>
    <col min="1" max="1" width="37.33203125" style="1" customWidth="1"/>
    <col min="2" max="2" width="20.1640625" style="1" customWidth="1"/>
    <col min="3" max="3" width="14.83203125" style="1" customWidth="1"/>
    <col min="4" max="4" width="11.6640625" style="1" customWidth="1"/>
    <col min="5" max="5" width="13.1640625" style="1" customWidth="1"/>
    <col min="6" max="6" width="11.83203125" style="1" customWidth="1"/>
    <col min="7" max="7" width="10.5" style="1" customWidth="1"/>
    <col min="8" max="8" width="59.33203125" style="1" customWidth="1"/>
    <col min="9" max="16384" width="9.1640625" style="1"/>
  </cols>
  <sheetData>
    <row r="2" spans="1:8" ht="25.5" customHeight="1"/>
    <row r="3" spans="1:8" ht="18">
      <c r="A3" s="2" t="s">
        <v>45</v>
      </c>
    </row>
    <row r="4" spans="1:8">
      <c r="A4" s="117" t="s">
        <v>26</v>
      </c>
    </row>
    <row r="5" spans="1:8" ht="16.5" customHeight="1">
      <c r="B5" s="2"/>
    </row>
    <row r="7" spans="1:8" ht="27.75" customHeight="1">
      <c r="A7" s="12" t="s">
        <v>27</v>
      </c>
      <c r="B7" s="172" t="s">
        <v>316</v>
      </c>
    </row>
    <row r="8" spans="1:8" ht="26.25" customHeight="1">
      <c r="A8" s="12" t="s">
        <v>28</v>
      </c>
      <c r="B8" s="3" t="s">
        <v>314</v>
      </c>
    </row>
    <row r="10" spans="1:8">
      <c r="A10" s="7" t="s">
        <v>29</v>
      </c>
      <c r="B10" s="28" t="s">
        <v>125</v>
      </c>
      <c r="C10" s="29"/>
    </row>
    <row r="11" spans="1:8">
      <c r="A11" s="7" t="s">
        <v>30</v>
      </c>
      <c r="B11" s="160">
        <v>41640</v>
      </c>
      <c r="C11" s="29"/>
    </row>
    <row r="12" spans="1:8" ht="15" customHeight="1">
      <c r="A12" s="7" t="s">
        <v>31</v>
      </c>
      <c r="B12" s="7" t="s">
        <v>32</v>
      </c>
      <c r="C12" s="9"/>
    </row>
    <row r="13" spans="1:8" ht="15" customHeight="1">
      <c r="A13" s="7" t="s">
        <v>33</v>
      </c>
      <c r="B13" s="30" t="s">
        <v>46</v>
      </c>
      <c r="C13" s="36" t="s">
        <v>133</v>
      </c>
    </row>
    <row r="14" spans="1:8" ht="15" customHeight="1">
      <c r="A14" s="10" t="s">
        <v>35</v>
      </c>
      <c r="B14" s="10" t="s">
        <v>36</v>
      </c>
      <c r="C14" s="10"/>
    </row>
    <row r="16" spans="1:8" ht="26">
      <c r="A16" s="11" t="s">
        <v>37</v>
      </c>
      <c r="B16" s="5" t="s">
        <v>38</v>
      </c>
      <c r="C16" s="5" t="s">
        <v>39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</row>
    <row r="17" spans="1:8">
      <c r="A17" s="134" t="s">
        <v>134</v>
      </c>
      <c r="B17" s="167">
        <v>750</v>
      </c>
      <c r="C17" s="164">
        <f>(B17-D17)/B17</f>
        <v>0.98751999999999995</v>
      </c>
      <c r="D17" s="233">
        <v>9.36</v>
      </c>
      <c r="E17" s="166">
        <v>0.15</v>
      </c>
      <c r="F17" s="167">
        <f t="shared" ref="F17" si="0">D17*(1-E17)</f>
        <v>7.9559999999999995</v>
      </c>
      <c r="G17" s="166">
        <v>0.15</v>
      </c>
      <c r="H17" s="34" t="s">
        <v>319</v>
      </c>
    </row>
    <row r="18" spans="1:8">
      <c r="A18" s="134" t="s">
        <v>189</v>
      </c>
      <c r="B18" s="167">
        <v>450</v>
      </c>
      <c r="C18" s="164">
        <f>(B18-D18)/B18</f>
        <v>0.95440000000000003</v>
      </c>
      <c r="D18" s="233">
        <v>20.52</v>
      </c>
      <c r="E18" s="166">
        <v>0.15</v>
      </c>
      <c r="F18" s="167">
        <f t="shared" ref="F18:F28" si="1">D18*(1-E18)</f>
        <v>17.442</v>
      </c>
      <c r="G18" s="166">
        <v>0.15</v>
      </c>
      <c r="H18" s="34" t="s">
        <v>319</v>
      </c>
    </row>
    <row r="19" spans="1:8">
      <c r="A19" s="134" t="s">
        <v>136</v>
      </c>
      <c r="B19" s="167">
        <f>(6.6*3.7*30)+(6.6*3.1*30)</f>
        <v>1346.4</v>
      </c>
      <c r="C19" s="164">
        <v>0.83</v>
      </c>
      <c r="D19" s="167">
        <f>B19*(1-C19)</f>
        <v>228.88800000000006</v>
      </c>
      <c r="E19" s="166">
        <v>0.15</v>
      </c>
      <c r="F19" s="167">
        <f t="shared" si="1"/>
        <v>194.55480000000006</v>
      </c>
      <c r="G19" s="166">
        <v>0.15</v>
      </c>
      <c r="H19" s="34" t="s">
        <v>362</v>
      </c>
    </row>
    <row r="20" spans="1:8">
      <c r="A20" s="134" t="s">
        <v>193</v>
      </c>
      <c r="B20" s="167">
        <f>(7.8*2.7*30)+(7.8*3.5*30)</f>
        <v>1450.8000000000002</v>
      </c>
      <c r="C20" s="164">
        <v>0.83</v>
      </c>
      <c r="D20" s="167">
        <f>B20*(1-C20)</f>
        <v>246.63600000000008</v>
      </c>
      <c r="E20" s="166">
        <v>0.15</v>
      </c>
      <c r="F20" s="167">
        <f t="shared" si="1"/>
        <v>209.64060000000006</v>
      </c>
      <c r="G20" s="166">
        <v>0.15</v>
      </c>
      <c r="H20" s="34" t="s">
        <v>363</v>
      </c>
    </row>
    <row r="21" spans="1:8">
      <c r="A21" s="134" t="s">
        <v>137</v>
      </c>
      <c r="B21" s="167">
        <v>1500</v>
      </c>
      <c r="C21" s="164">
        <f t="shared" ref="C21:C28" si="2">(B21-D21)/B21</f>
        <v>0.89849999999999997</v>
      </c>
      <c r="D21" s="167">
        <f>4.35*35</f>
        <v>152.25</v>
      </c>
      <c r="E21" s="166">
        <v>0.15</v>
      </c>
      <c r="F21" s="167">
        <f t="shared" si="1"/>
        <v>129.41249999999999</v>
      </c>
      <c r="G21" s="166">
        <v>0.15</v>
      </c>
      <c r="H21" s="34" t="s">
        <v>324</v>
      </c>
    </row>
    <row r="22" spans="1:8">
      <c r="A22" s="134" t="s">
        <v>197</v>
      </c>
      <c r="B22" s="167">
        <v>2284</v>
      </c>
      <c r="C22" s="164">
        <f t="shared" si="2"/>
        <v>0.96475481611208402</v>
      </c>
      <c r="D22" s="167">
        <f>2.3*35</f>
        <v>80.5</v>
      </c>
      <c r="E22" s="166">
        <v>0.15</v>
      </c>
      <c r="F22" s="167">
        <f t="shared" si="1"/>
        <v>68.424999999999997</v>
      </c>
      <c r="G22" s="166">
        <v>0.15</v>
      </c>
      <c r="H22" s="34" t="s">
        <v>325</v>
      </c>
    </row>
    <row r="23" spans="1:8">
      <c r="A23" s="134" t="s">
        <v>138</v>
      </c>
      <c r="B23" s="167">
        <v>1220</v>
      </c>
      <c r="C23" s="164">
        <f t="shared" si="2"/>
        <v>0.9573606557377049</v>
      </c>
      <c r="D23" s="167">
        <f>34*1.53</f>
        <v>52.02</v>
      </c>
      <c r="E23" s="166">
        <v>0.15</v>
      </c>
      <c r="F23" s="167">
        <f t="shared" si="1"/>
        <v>44.216999999999999</v>
      </c>
      <c r="G23" s="166">
        <v>0.15</v>
      </c>
      <c r="H23" s="34" t="s">
        <v>362</v>
      </c>
    </row>
    <row r="24" spans="1:8">
      <c r="A24" s="134" t="s">
        <v>201</v>
      </c>
      <c r="B24" s="167">
        <v>388</v>
      </c>
      <c r="C24" s="164">
        <f t="shared" si="2"/>
        <v>0.90798969072164948</v>
      </c>
      <c r="D24" s="167">
        <f>34*1.05</f>
        <v>35.700000000000003</v>
      </c>
      <c r="E24" s="166">
        <v>0.15</v>
      </c>
      <c r="F24" s="167">
        <f t="shared" si="1"/>
        <v>30.345000000000002</v>
      </c>
      <c r="G24" s="166">
        <v>0.15</v>
      </c>
      <c r="H24" s="34" t="s">
        <v>362</v>
      </c>
    </row>
    <row r="25" spans="1:8">
      <c r="A25" s="134" t="s">
        <v>139</v>
      </c>
      <c r="B25" s="167">
        <f>17*3.1*30</f>
        <v>1581</v>
      </c>
      <c r="C25" s="164">
        <f t="shared" si="2"/>
        <v>0.92966476913345986</v>
      </c>
      <c r="D25" s="167">
        <f>80*1.39</f>
        <v>111.19999999999999</v>
      </c>
      <c r="E25" s="166">
        <v>0.15</v>
      </c>
      <c r="F25" s="167">
        <f t="shared" si="1"/>
        <v>94.519999999999982</v>
      </c>
      <c r="G25" s="166">
        <v>0.15</v>
      </c>
      <c r="H25" s="34" t="s">
        <v>363</v>
      </c>
    </row>
    <row r="26" spans="1:8">
      <c r="A26" s="134" t="s">
        <v>204</v>
      </c>
      <c r="B26" s="167">
        <f>17*1.4*30</f>
        <v>713.99999999999989</v>
      </c>
      <c r="C26" s="164">
        <f t="shared" si="2"/>
        <v>0.71204481792717078</v>
      </c>
      <c r="D26" s="167">
        <f>80*2.57</f>
        <v>205.6</v>
      </c>
      <c r="E26" s="166">
        <v>0.15</v>
      </c>
      <c r="F26" s="167">
        <f t="shared" si="1"/>
        <v>174.76</v>
      </c>
      <c r="G26" s="166">
        <v>0.15</v>
      </c>
      <c r="H26" s="34" t="s">
        <v>363</v>
      </c>
    </row>
    <row r="27" spans="1:8">
      <c r="A27" s="134" t="s">
        <v>135</v>
      </c>
      <c r="B27" s="167">
        <v>750</v>
      </c>
      <c r="C27" s="164">
        <f t="shared" si="2"/>
        <v>0.61133333333333328</v>
      </c>
      <c r="D27" s="167">
        <f>55*5.3</f>
        <v>291.5</v>
      </c>
      <c r="E27" s="166">
        <v>0.15</v>
      </c>
      <c r="F27" s="167">
        <f t="shared" si="1"/>
        <v>247.77500000000001</v>
      </c>
      <c r="G27" s="166">
        <v>0.15</v>
      </c>
      <c r="H27" s="34" t="s">
        <v>319</v>
      </c>
    </row>
    <row r="28" spans="1:8">
      <c r="A28" s="134" t="s">
        <v>208</v>
      </c>
      <c r="B28" s="167">
        <v>631</v>
      </c>
      <c r="C28" s="164">
        <f t="shared" si="2"/>
        <v>0.81521394611727416</v>
      </c>
      <c r="D28" s="167">
        <f>55*2.12</f>
        <v>116.60000000000001</v>
      </c>
      <c r="E28" s="166">
        <v>0.15</v>
      </c>
      <c r="F28" s="167">
        <f t="shared" si="1"/>
        <v>99.11</v>
      </c>
      <c r="G28" s="166">
        <v>0.15</v>
      </c>
      <c r="H28" s="34" t="s">
        <v>325</v>
      </c>
    </row>
    <row r="29" spans="1:8" hidden="1">
      <c r="A29" s="134"/>
      <c r="B29" s="11"/>
      <c r="C29" s="4"/>
      <c r="D29" s="165"/>
      <c r="E29" s="4"/>
      <c r="F29" s="4"/>
      <c r="G29" s="4"/>
      <c r="H29" s="4"/>
    </row>
    <row r="30" spans="1:8" hidden="1">
      <c r="A30" s="134"/>
      <c r="B30" s="11"/>
      <c r="C30" s="4"/>
      <c r="D30" s="165"/>
      <c r="E30" s="4"/>
      <c r="F30" s="4"/>
      <c r="G30" s="4"/>
      <c r="H30" s="4"/>
    </row>
    <row r="31" spans="1:8" hidden="1">
      <c r="A31" s="134"/>
      <c r="B31" s="11" t="s">
        <v>47</v>
      </c>
      <c r="C31" s="4"/>
      <c r="D31" s="165"/>
      <c r="E31" s="4"/>
      <c r="F31" s="4"/>
      <c r="G31" s="4"/>
      <c r="H31" s="4"/>
    </row>
    <row r="32" spans="1:8" ht="12.75" customHeight="1">
      <c r="A32" s="134"/>
      <c r="B32" s="11"/>
      <c r="C32" s="4"/>
      <c r="D32" s="165"/>
      <c r="E32" s="4"/>
      <c r="F32" s="4"/>
      <c r="G32" s="4"/>
      <c r="H32" s="4"/>
    </row>
    <row r="33" spans="1:8" ht="12.75" customHeight="1">
      <c r="A33" s="6"/>
      <c r="B33" s="20"/>
      <c r="C33" s="21"/>
      <c r="D33" s="21"/>
      <c r="E33" s="21"/>
      <c r="F33" s="21"/>
      <c r="G33" s="21"/>
      <c r="H33" s="21"/>
    </row>
    <row r="34" spans="1:8" ht="15.75" customHeight="1"/>
  </sheetData>
  <phoneticPr fontId="9" type="noConversion"/>
  <pageMargins left="0.25" right="0.25" top="0.5" bottom="0.5" header="0.5" footer="0.5"/>
  <pageSetup scale="68" orientation="landscape"/>
  <headerFooter alignWithMargins="0"/>
  <rowBreaks count="1" manualBreakCount="1">
    <brk id="36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65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H31"/>
  <sheetViews>
    <sheetView zoomScale="125" zoomScaleNormal="125" zoomScalePageLayoutView="125" workbookViewId="0">
      <selection activeCell="E41" sqref="E41"/>
    </sheetView>
  </sheetViews>
  <sheetFormatPr baseColWidth="10" defaultColWidth="9.1640625" defaultRowHeight="13" x14ac:dyDescent="0"/>
  <cols>
    <col min="1" max="1" width="36.6640625" style="168" customWidth="1"/>
    <col min="2" max="2" width="18" style="168" customWidth="1"/>
    <col min="3" max="3" width="12.33203125" style="168" customWidth="1"/>
    <col min="4" max="4" width="11.6640625" style="168" customWidth="1"/>
    <col min="5" max="6" width="11.5" style="168" customWidth="1"/>
    <col min="7" max="7" width="11.1640625" style="168" customWidth="1"/>
    <col min="8" max="8" width="76.83203125" style="168" customWidth="1"/>
    <col min="9" max="16384" width="9.1640625" style="168"/>
  </cols>
  <sheetData>
    <row r="2" spans="1:8" ht="25.5" customHeight="1"/>
    <row r="3" spans="1:8" ht="18">
      <c r="A3" s="169" t="s">
        <v>48</v>
      </c>
    </row>
    <row r="4" spans="1:8">
      <c r="A4" s="170" t="s">
        <v>26</v>
      </c>
    </row>
    <row r="6" spans="1:8" ht="27.75" customHeight="1">
      <c r="A6" s="171" t="s">
        <v>27</v>
      </c>
      <c r="B6" s="172" t="s">
        <v>316</v>
      </c>
    </row>
    <row r="7" spans="1:8" ht="26.25" customHeight="1">
      <c r="A7" s="171" t="s">
        <v>28</v>
      </c>
      <c r="B7" s="172" t="s">
        <v>317</v>
      </c>
    </row>
    <row r="9" spans="1:8">
      <c r="A9" s="173" t="s">
        <v>29</v>
      </c>
      <c r="B9" s="174" t="s">
        <v>125</v>
      </c>
      <c r="C9" s="175"/>
    </row>
    <row r="10" spans="1:8">
      <c r="A10" s="173" t="s">
        <v>49</v>
      </c>
      <c r="B10" s="176">
        <v>41640</v>
      </c>
      <c r="C10" s="175"/>
    </row>
    <row r="11" spans="1:8" ht="15" customHeight="1">
      <c r="A11" s="173" t="s">
        <v>31</v>
      </c>
      <c r="B11" s="173" t="s">
        <v>32</v>
      </c>
      <c r="C11" s="177"/>
    </row>
    <row r="12" spans="1:8" ht="15" customHeight="1">
      <c r="A12" s="173" t="s">
        <v>33</v>
      </c>
      <c r="B12" s="178" t="s">
        <v>50</v>
      </c>
      <c r="C12" s="186" t="s">
        <v>141</v>
      </c>
    </row>
    <row r="13" spans="1:8" ht="15" customHeight="1">
      <c r="A13" s="173" t="s">
        <v>35</v>
      </c>
      <c r="B13" s="173" t="s">
        <v>36</v>
      </c>
      <c r="C13" s="177"/>
    </row>
    <row r="15" spans="1:8" ht="26">
      <c r="A15" s="179" t="s">
        <v>37</v>
      </c>
      <c r="B15" s="180" t="s">
        <v>38</v>
      </c>
      <c r="C15" s="180" t="s">
        <v>39</v>
      </c>
      <c r="D15" s="180" t="s">
        <v>40</v>
      </c>
      <c r="E15" s="180" t="s">
        <v>41</v>
      </c>
      <c r="F15" s="180" t="s">
        <v>42</v>
      </c>
      <c r="G15" s="180" t="s">
        <v>43</v>
      </c>
      <c r="H15" s="180" t="s">
        <v>44</v>
      </c>
    </row>
    <row r="16" spans="1:8">
      <c r="A16" s="181" t="s">
        <v>140</v>
      </c>
      <c r="B16" s="167">
        <v>3000</v>
      </c>
      <c r="C16" s="183">
        <f>(B16-D16)/B16</f>
        <v>0.96532000000000007</v>
      </c>
      <c r="D16" s="234">
        <v>104.04</v>
      </c>
      <c r="E16" s="190">
        <v>0.15</v>
      </c>
      <c r="F16" s="167">
        <f t="shared" ref="F16:F27" si="0">D16*(1-E16)</f>
        <v>88.433999999999997</v>
      </c>
      <c r="G16" s="166">
        <v>0.15</v>
      </c>
      <c r="H16" s="34" t="s">
        <v>319</v>
      </c>
    </row>
    <row r="17" spans="1:8">
      <c r="A17" s="181" t="s">
        <v>190</v>
      </c>
      <c r="B17" s="167">
        <v>750</v>
      </c>
      <c r="C17" s="183">
        <f>(B17-D17)/B17</f>
        <v>0.96736</v>
      </c>
      <c r="D17" s="234">
        <v>24.48</v>
      </c>
      <c r="E17" s="190">
        <v>0.15</v>
      </c>
      <c r="F17" s="167">
        <f t="shared" si="0"/>
        <v>20.808</v>
      </c>
      <c r="G17" s="166">
        <v>0.15</v>
      </c>
      <c r="H17" s="34" t="s">
        <v>319</v>
      </c>
    </row>
    <row r="18" spans="1:8" ht="26">
      <c r="A18" s="181" t="s">
        <v>142</v>
      </c>
      <c r="B18" s="167">
        <v>1200</v>
      </c>
      <c r="C18" s="183">
        <v>0.15</v>
      </c>
      <c r="D18" s="167">
        <f>B18*(1-C18)</f>
        <v>1020</v>
      </c>
      <c r="E18" s="190">
        <v>0.15</v>
      </c>
      <c r="F18" s="167">
        <f t="shared" si="0"/>
        <v>867</v>
      </c>
      <c r="G18" s="166">
        <v>0.15</v>
      </c>
      <c r="H18" s="34" t="s">
        <v>365</v>
      </c>
    </row>
    <row r="19" spans="1:8" ht="26">
      <c r="A19" s="181" t="s">
        <v>194</v>
      </c>
      <c r="B19" s="167">
        <v>550</v>
      </c>
      <c r="C19" s="183">
        <v>0.15</v>
      </c>
      <c r="D19" s="167">
        <f>B19*(1-C19)</f>
        <v>467.5</v>
      </c>
      <c r="E19" s="190">
        <v>0.15</v>
      </c>
      <c r="F19" s="167">
        <f t="shared" si="0"/>
        <v>397.375</v>
      </c>
      <c r="G19" s="166">
        <v>0.15</v>
      </c>
      <c r="H19" s="34" t="s">
        <v>366</v>
      </c>
    </row>
    <row r="20" spans="1:8">
      <c r="A20" s="181" t="s">
        <v>143</v>
      </c>
      <c r="B20" s="167">
        <v>4425</v>
      </c>
      <c r="C20" s="183">
        <f t="shared" ref="C20:C27" si="1">(B20-D20)/B20</f>
        <v>0.98281355932203385</v>
      </c>
      <c r="D20" s="167">
        <f>45*1.69</f>
        <v>76.05</v>
      </c>
      <c r="E20" s="190">
        <v>0.15</v>
      </c>
      <c r="F20" s="167">
        <f t="shared" si="0"/>
        <v>64.642499999999998</v>
      </c>
      <c r="G20" s="166">
        <v>0.15</v>
      </c>
      <c r="H20" s="34" t="s">
        <v>319</v>
      </c>
    </row>
    <row r="21" spans="1:8">
      <c r="A21" s="181" t="s">
        <v>198</v>
      </c>
      <c r="B21" s="167">
        <v>2338</v>
      </c>
      <c r="C21" s="183">
        <f t="shared" si="1"/>
        <v>0.98363986313088114</v>
      </c>
      <c r="D21" s="167">
        <f>45*0.85</f>
        <v>38.25</v>
      </c>
      <c r="E21" s="190">
        <v>0.15</v>
      </c>
      <c r="F21" s="167">
        <f t="shared" si="0"/>
        <v>32.512499999999996</v>
      </c>
      <c r="G21" s="166">
        <v>0.15</v>
      </c>
      <c r="H21" s="34" t="s">
        <v>326</v>
      </c>
    </row>
    <row r="22" spans="1:8">
      <c r="A22" s="181" t="s">
        <v>144</v>
      </c>
      <c r="B22" s="167">
        <v>2300</v>
      </c>
      <c r="C22" s="183">
        <f t="shared" si="1"/>
        <v>0.96217391304347821</v>
      </c>
      <c r="D22" s="167">
        <f>100*0.87</f>
        <v>87</v>
      </c>
      <c r="E22" s="190">
        <v>0.15</v>
      </c>
      <c r="F22" s="167">
        <f t="shared" si="0"/>
        <v>73.95</v>
      </c>
      <c r="G22" s="166">
        <v>0.15</v>
      </c>
      <c r="H22" s="34" t="s">
        <v>319</v>
      </c>
    </row>
    <row r="23" spans="1:8">
      <c r="A23" s="181" t="s">
        <v>202</v>
      </c>
      <c r="B23" s="167">
        <v>4077</v>
      </c>
      <c r="C23" s="183">
        <f t="shared" si="1"/>
        <v>0.94726514594064259</v>
      </c>
      <c r="D23" s="167">
        <f>100*2.15</f>
        <v>215</v>
      </c>
      <c r="E23" s="190">
        <v>0.15</v>
      </c>
      <c r="F23" s="167">
        <f t="shared" si="0"/>
        <v>182.75</v>
      </c>
      <c r="G23" s="166">
        <v>0.15</v>
      </c>
      <c r="H23" s="34" t="s">
        <v>319</v>
      </c>
    </row>
    <row r="24" spans="1:8">
      <c r="A24" s="181" t="s">
        <v>145</v>
      </c>
      <c r="B24" s="167">
        <f>14*1*30</f>
        <v>420</v>
      </c>
      <c r="C24" s="183">
        <f t="shared" si="1"/>
        <v>0.78285714285714292</v>
      </c>
      <c r="D24" s="167">
        <f>60*1.52</f>
        <v>91.2</v>
      </c>
      <c r="E24" s="190">
        <v>0.15</v>
      </c>
      <c r="F24" s="167">
        <f t="shared" si="0"/>
        <v>77.52</v>
      </c>
      <c r="G24" s="166">
        <v>0.15</v>
      </c>
      <c r="H24" s="34" t="s">
        <v>363</v>
      </c>
    </row>
    <row r="25" spans="1:8">
      <c r="A25" s="181" t="s">
        <v>205</v>
      </c>
      <c r="B25" s="167">
        <f>13*1.8*30</f>
        <v>702.00000000000011</v>
      </c>
      <c r="C25" s="183">
        <f t="shared" si="1"/>
        <v>0.5837606837606838</v>
      </c>
      <c r="D25" s="167">
        <f>60*4.87</f>
        <v>292.2</v>
      </c>
      <c r="E25" s="190">
        <v>0.15</v>
      </c>
      <c r="F25" s="167">
        <f t="shared" si="0"/>
        <v>248.36999999999998</v>
      </c>
      <c r="G25" s="166">
        <v>0.15</v>
      </c>
      <c r="H25" s="34" t="s">
        <v>367</v>
      </c>
    </row>
    <row r="26" spans="1:8">
      <c r="A26" s="181" t="s">
        <v>146</v>
      </c>
      <c r="B26" s="167">
        <v>1287</v>
      </c>
      <c r="C26" s="183">
        <f t="shared" si="1"/>
        <v>0.9358974358974359</v>
      </c>
      <c r="D26" s="167">
        <f>55*1.5</f>
        <v>82.5</v>
      </c>
      <c r="E26" s="190">
        <v>0.15</v>
      </c>
      <c r="F26" s="167">
        <f t="shared" si="0"/>
        <v>70.125</v>
      </c>
      <c r="G26" s="166">
        <v>0.15</v>
      </c>
      <c r="H26" s="185" t="s">
        <v>327</v>
      </c>
    </row>
    <row r="27" spans="1:8">
      <c r="A27" s="181" t="s">
        <v>209</v>
      </c>
      <c r="B27" s="167">
        <v>900</v>
      </c>
      <c r="C27" s="183">
        <f t="shared" si="1"/>
        <v>0.96822222222222221</v>
      </c>
      <c r="D27" s="167">
        <f>55*0.52</f>
        <v>28.6</v>
      </c>
      <c r="E27" s="190">
        <v>0.15</v>
      </c>
      <c r="F27" s="167">
        <f t="shared" si="0"/>
        <v>24.310000000000002</v>
      </c>
      <c r="G27" s="166">
        <v>0.15</v>
      </c>
      <c r="H27" s="34" t="s">
        <v>319</v>
      </c>
    </row>
    <row r="28" spans="1:8">
      <c r="A28" s="181"/>
      <c r="B28" s="182"/>
      <c r="C28" s="182"/>
      <c r="D28" s="184"/>
      <c r="E28" s="182"/>
      <c r="F28" s="182"/>
      <c r="G28" s="182"/>
      <c r="H28" s="182"/>
    </row>
    <row r="29" spans="1:8">
      <c r="A29" s="181"/>
      <c r="B29" s="182"/>
      <c r="C29" s="182"/>
      <c r="D29" s="184"/>
      <c r="E29" s="182"/>
      <c r="F29" s="182"/>
      <c r="G29" s="182"/>
      <c r="H29" s="182"/>
    </row>
    <row r="30" spans="1:8">
      <c r="A30" s="181"/>
      <c r="B30" s="182"/>
      <c r="C30" s="182"/>
      <c r="D30" s="184"/>
      <c r="E30" s="182"/>
      <c r="F30" s="182"/>
      <c r="G30" s="182"/>
      <c r="H30" s="182"/>
    </row>
    <row r="31" spans="1:8">
      <c r="A31" s="179"/>
      <c r="B31" s="182"/>
      <c r="C31" s="182"/>
      <c r="D31" s="184"/>
      <c r="E31" s="182"/>
      <c r="F31" s="182"/>
      <c r="G31" s="182"/>
      <c r="H31" s="182"/>
    </row>
  </sheetData>
  <phoneticPr fontId="9" type="noConversion"/>
  <pageMargins left="0.2" right="0.2" top="0.5" bottom="0.5" header="0.3" footer="0.3"/>
  <pageSetup paperSize="9" scale="68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H31"/>
  <sheetViews>
    <sheetView showWhiteSpace="0" zoomScale="125" zoomScaleNormal="125" zoomScalePageLayoutView="125" workbookViewId="0">
      <selection activeCell="E41" sqref="E41"/>
    </sheetView>
  </sheetViews>
  <sheetFormatPr baseColWidth="10" defaultColWidth="9.1640625" defaultRowHeight="13" x14ac:dyDescent="0"/>
  <cols>
    <col min="1" max="1" width="42" style="168" customWidth="1"/>
    <col min="2" max="2" width="18.83203125" style="168" customWidth="1"/>
    <col min="3" max="3" width="13.33203125" style="168" customWidth="1"/>
    <col min="4" max="4" width="13.1640625" style="168" customWidth="1"/>
    <col min="5" max="5" width="13" style="168" customWidth="1"/>
    <col min="6" max="6" width="13.33203125" style="168" customWidth="1"/>
    <col min="7" max="7" width="12.83203125" style="168" customWidth="1"/>
    <col min="8" max="8" width="50.6640625" style="168" customWidth="1"/>
    <col min="9" max="16384" width="9.1640625" style="168"/>
  </cols>
  <sheetData>
    <row r="2" spans="1:8" ht="25.5" customHeight="1"/>
    <row r="3" spans="1:8" ht="18">
      <c r="A3" s="169" t="s">
        <v>51</v>
      </c>
    </row>
    <row r="4" spans="1:8">
      <c r="A4" s="170" t="s">
        <v>26</v>
      </c>
    </row>
    <row r="6" spans="1:8" ht="27.75" customHeight="1">
      <c r="A6" s="171" t="s">
        <v>27</v>
      </c>
      <c r="B6" s="172" t="s">
        <v>316</v>
      </c>
    </row>
    <row r="7" spans="1:8" ht="26.25" customHeight="1">
      <c r="A7" s="171" t="s">
        <v>28</v>
      </c>
      <c r="B7" s="172" t="s">
        <v>314</v>
      </c>
    </row>
    <row r="9" spans="1:8">
      <c r="A9" s="173" t="s">
        <v>29</v>
      </c>
      <c r="B9" s="174" t="s">
        <v>125</v>
      </c>
      <c r="C9" s="175"/>
    </row>
    <row r="10" spans="1:8">
      <c r="A10" s="173" t="s">
        <v>49</v>
      </c>
      <c r="B10" s="176">
        <v>41640</v>
      </c>
      <c r="C10" s="175"/>
    </row>
    <row r="11" spans="1:8" ht="15" customHeight="1">
      <c r="A11" s="173" t="s">
        <v>31</v>
      </c>
      <c r="B11" s="173" t="s">
        <v>32</v>
      </c>
      <c r="C11" s="177"/>
    </row>
    <row r="12" spans="1:8" ht="15" customHeight="1">
      <c r="A12" s="173" t="s">
        <v>33</v>
      </c>
      <c r="B12" s="178" t="s">
        <v>52</v>
      </c>
      <c r="C12" s="186" t="s">
        <v>153</v>
      </c>
    </row>
    <row r="13" spans="1:8" ht="15" customHeight="1">
      <c r="A13" s="173" t="s">
        <v>35</v>
      </c>
      <c r="B13" s="173" t="s">
        <v>36</v>
      </c>
      <c r="C13" s="177"/>
    </row>
    <row r="15" spans="1:8" ht="26">
      <c r="A15" s="179" t="s">
        <v>37</v>
      </c>
      <c r="B15" s="180" t="s">
        <v>38</v>
      </c>
      <c r="C15" s="180" t="s">
        <v>39</v>
      </c>
      <c r="D15" s="180" t="s">
        <v>40</v>
      </c>
      <c r="E15" s="180" t="s">
        <v>41</v>
      </c>
      <c r="F15" s="180" t="s">
        <v>42</v>
      </c>
      <c r="G15" s="180" t="s">
        <v>43</v>
      </c>
      <c r="H15" s="180" t="s">
        <v>44</v>
      </c>
    </row>
    <row r="16" spans="1:8">
      <c r="A16" s="181" t="s">
        <v>147</v>
      </c>
      <c r="B16" s="182">
        <v>450</v>
      </c>
      <c r="C16" s="183">
        <f>(B16-D16)/B16</f>
        <v>0.99315555555555557</v>
      </c>
      <c r="D16" s="236">
        <v>3.08</v>
      </c>
      <c r="E16" s="190">
        <v>0.15</v>
      </c>
      <c r="F16" s="167">
        <f t="shared" ref="F16" si="0">D16*(1-E16)</f>
        <v>2.6179999999999999</v>
      </c>
      <c r="G16" s="166">
        <v>0.15</v>
      </c>
      <c r="H16" s="34" t="s">
        <v>319</v>
      </c>
    </row>
    <row r="17" spans="1:8">
      <c r="A17" s="181" t="s">
        <v>191</v>
      </c>
      <c r="B17" s="216"/>
      <c r="C17" s="183"/>
      <c r="D17" s="184"/>
      <c r="E17" s="182"/>
      <c r="F17" s="182"/>
      <c r="G17" s="166"/>
      <c r="H17" s="187" t="s">
        <v>348</v>
      </c>
    </row>
    <row r="18" spans="1:8">
      <c r="A18" s="181" t="s">
        <v>148</v>
      </c>
      <c r="B18" s="167">
        <f>(4.4*1.2*30)+(4.4*1.4*30)</f>
        <v>343.20000000000005</v>
      </c>
      <c r="C18" s="183">
        <v>0.83</v>
      </c>
      <c r="D18" s="167">
        <f>B18*(1-C18)</f>
        <v>58.344000000000023</v>
      </c>
      <c r="E18" s="190">
        <v>0.15</v>
      </c>
      <c r="F18" s="167">
        <f t="shared" ref="F18:F20" si="1">D18*(1-E18)</f>
        <v>49.592400000000019</v>
      </c>
      <c r="G18" s="166">
        <v>0.15</v>
      </c>
      <c r="H18" s="34" t="s">
        <v>363</v>
      </c>
    </row>
    <row r="19" spans="1:8">
      <c r="A19" s="181" t="s">
        <v>195</v>
      </c>
      <c r="B19" s="167">
        <f>(4.4*1.8*30)+(4.4*1*30)</f>
        <v>369.6</v>
      </c>
      <c r="C19" s="183">
        <v>0.83</v>
      </c>
      <c r="D19" s="167">
        <f>B19*(1-C19)</f>
        <v>62.832000000000022</v>
      </c>
      <c r="E19" s="190">
        <v>0.15</v>
      </c>
      <c r="F19" s="167">
        <f t="shared" si="1"/>
        <v>53.407200000000017</v>
      </c>
      <c r="G19" s="166">
        <v>0.15</v>
      </c>
      <c r="H19" s="34" t="s">
        <v>368</v>
      </c>
    </row>
    <row r="20" spans="1:8">
      <c r="A20" s="181" t="s">
        <v>149</v>
      </c>
      <c r="B20" s="167">
        <v>903</v>
      </c>
      <c r="C20" s="183">
        <f t="shared" ref="C20:C27" si="2">(B20-D20)/B20</f>
        <v>0.99390919158361024</v>
      </c>
      <c r="D20" s="167">
        <f>25*0.22</f>
        <v>5.5</v>
      </c>
      <c r="E20" s="190">
        <v>0.15</v>
      </c>
      <c r="F20" s="167">
        <f t="shared" si="1"/>
        <v>4.6749999999999998</v>
      </c>
      <c r="G20" s="166">
        <v>0.15</v>
      </c>
      <c r="H20" s="34" t="s">
        <v>319</v>
      </c>
    </row>
    <row r="21" spans="1:8">
      <c r="A21" s="181" t="s">
        <v>199</v>
      </c>
      <c r="B21" s="167">
        <v>823</v>
      </c>
      <c r="C21" s="183">
        <f t="shared" si="2"/>
        <v>0.97357229647630616</v>
      </c>
      <c r="D21" s="167">
        <f>25*0.87</f>
        <v>21.75</v>
      </c>
      <c r="E21" s="190">
        <v>0.15</v>
      </c>
      <c r="F21" s="167">
        <f t="shared" ref="F21:F27" si="3">D21*(1-E21)</f>
        <v>18.487500000000001</v>
      </c>
      <c r="G21" s="166">
        <v>0.15</v>
      </c>
      <c r="H21" s="34" t="s">
        <v>319</v>
      </c>
    </row>
    <row r="22" spans="1:8">
      <c r="A22" s="181" t="s">
        <v>150</v>
      </c>
      <c r="B22" s="167">
        <v>727</v>
      </c>
      <c r="C22" s="183">
        <f t="shared" si="2"/>
        <v>0.93133425034387896</v>
      </c>
      <c r="D22" s="167">
        <f>24*2.08</f>
        <v>49.92</v>
      </c>
      <c r="E22" s="190">
        <v>0.15</v>
      </c>
      <c r="F22" s="167">
        <f t="shared" si="3"/>
        <v>42.432000000000002</v>
      </c>
      <c r="G22" s="166">
        <v>0.15</v>
      </c>
      <c r="H22" s="34" t="s">
        <v>369</v>
      </c>
    </row>
    <row r="23" spans="1:8">
      <c r="A23" s="181" t="s">
        <v>203</v>
      </c>
      <c r="B23" s="167">
        <v>185</v>
      </c>
      <c r="C23" s="183">
        <f t="shared" si="2"/>
        <v>0.80540540540540539</v>
      </c>
      <c r="D23" s="167">
        <f>24*1.5</f>
        <v>36</v>
      </c>
      <c r="E23" s="190">
        <v>0.15</v>
      </c>
      <c r="F23" s="167">
        <f t="shared" si="3"/>
        <v>30.599999999999998</v>
      </c>
      <c r="G23" s="166">
        <v>0.15</v>
      </c>
      <c r="H23" s="34" t="s">
        <v>361</v>
      </c>
    </row>
    <row r="24" spans="1:8">
      <c r="A24" s="181" t="s">
        <v>151</v>
      </c>
      <c r="B24" s="167">
        <f>10*5.1*30</f>
        <v>1530</v>
      </c>
      <c r="C24" s="183">
        <f t="shared" si="2"/>
        <v>0.81568627450980391</v>
      </c>
      <c r="D24" s="167">
        <f>60*4.7</f>
        <v>282</v>
      </c>
      <c r="E24" s="190">
        <v>0.15</v>
      </c>
      <c r="F24" s="167">
        <f t="shared" si="3"/>
        <v>239.7</v>
      </c>
      <c r="G24" s="166">
        <v>0.15</v>
      </c>
      <c r="H24" s="34" t="s">
        <v>363</v>
      </c>
    </row>
    <row r="25" spans="1:8">
      <c r="A25" s="181" t="s">
        <v>206</v>
      </c>
      <c r="B25" s="167">
        <f>9*4*30</f>
        <v>1080</v>
      </c>
      <c r="C25" s="183">
        <f t="shared" si="2"/>
        <v>0.88222222222222213</v>
      </c>
      <c r="D25" s="167">
        <f>60*2.12</f>
        <v>127.2</v>
      </c>
      <c r="E25" s="190">
        <v>0.15</v>
      </c>
      <c r="F25" s="167">
        <f t="shared" si="3"/>
        <v>108.12</v>
      </c>
      <c r="G25" s="166">
        <v>0.15</v>
      </c>
      <c r="H25" s="34" t="s">
        <v>362</v>
      </c>
    </row>
    <row r="26" spans="1:8">
      <c r="A26" s="181" t="s">
        <v>152</v>
      </c>
      <c r="B26" s="167">
        <v>677</v>
      </c>
      <c r="C26" s="183">
        <f t="shared" si="2"/>
        <v>0.83456425406203838</v>
      </c>
      <c r="D26" s="167">
        <f>40*2.8</f>
        <v>112</v>
      </c>
      <c r="E26" s="190">
        <v>0.15</v>
      </c>
      <c r="F26" s="167">
        <f t="shared" si="3"/>
        <v>95.2</v>
      </c>
      <c r="G26" s="166">
        <v>0.15</v>
      </c>
      <c r="H26" s="34" t="s">
        <v>319</v>
      </c>
    </row>
    <row r="27" spans="1:8">
      <c r="A27" s="181" t="s">
        <v>210</v>
      </c>
      <c r="B27" s="167">
        <v>751</v>
      </c>
      <c r="C27" s="183">
        <f t="shared" si="2"/>
        <v>0.85086551264980026</v>
      </c>
      <c r="D27" s="184">
        <f>40*2.8</f>
        <v>112</v>
      </c>
      <c r="E27" s="190">
        <v>0.15</v>
      </c>
      <c r="F27" s="167">
        <f t="shared" si="3"/>
        <v>95.2</v>
      </c>
      <c r="G27" s="166">
        <v>0.15</v>
      </c>
      <c r="H27" s="34" t="s">
        <v>319</v>
      </c>
    </row>
    <row r="28" spans="1:8">
      <c r="A28" s="181"/>
      <c r="B28" s="182"/>
      <c r="C28" s="182"/>
      <c r="D28" s="184"/>
      <c r="E28" s="182"/>
      <c r="F28" s="182"/>
      <c r="G28" s="182"/>
      <c r="H28" s="187"/>
    </row>
    <row r="29" spans="1:8">
      <c r="A29" s="181"/>
      <c r="B29" s="182"/>
      <c r="C29" s="182"/>
      <c r="D29" s="184"/>
      <c r="E29" s="182"/>
      <c r="F29" s="182"/>
      <c r="G29" s="182"/>
      <c r="H29" s="187"/>
    </row>
    <row r="30" spans="1:8">
      <c r="A30" s="181"/>
      <c r="B30" s="182"/>
      <c r="C30" s="182"/>
      <c r="D30" s="184"/>
      <c r="E30" s="182"/>
      <c r="F30" s="182"/>
      <c r="G30" s="182"/>
      <c r="H30" s="187"/>
    </row>
    <row r="31" spans="1:8">
      <c r="A31" s="179"/>
      <c r="B31" s="182"/>
      <c r="C31" s="182"/>
      <c r="D31" s="184"/>
      <c r="E31" s="182"/>
      <c r="F31" s="182"/>
      <c r="G31" s="182"/>
      <c r="H31" s="182"/>
    </row>
  </sheetData>
  <phoneticPr fontId="9" type="noConversion"/>
  <pageMargins left="0.2" right="0.2" top="0.5" bottom="0.5" header="0.3" footer="0.3"/>
  <pageSetup paperSize="9" scale="73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H29"/>
  <sheetViews>
    <sheetView zoomScale="125" zoomScaleNormal="125" zoomScalePageLayoutView="125" workbookViewId="0">
      <selection activeCell="E41" sqref="E41"/>
    </sheetView>
  </sheetViews>
  <sheetFormatPr baseColWidth="10" defaultColWidth="9.1640625" defaultRowHeight="13" x14ac:dyDescent="0"/>
  <cols>
    <col min="1" max="1" width="36.6640625" style="1" customWidth="1"/>
    <col min="2" max="2" width="20.1640625" style="1" customWidth="1"/>
    <col min="3" max="3" width="17.83203125" style="1" customWidth="1"/>
    <col min="4" max="4" width="16.83203125" style="1" customWidth="1"/>
    <col min="5" max="5" width="15.5" style="1" customWidth="1"/>
    <col min="6" max="7" width="17.5" style="1" customWidth="1"/>
    <col min="8" max="8" width="34.6640625" style="1" customWidth="1"/>
    <col min="9" max="16384" width="9.1640625" style="1"/>
  </cols>
  <sheetData>
    <row r="2" spans="1:8" ht="25.5" customHeight="1"/>
    <row r="3" spans="1:8" ht="18">
      <c r="A3" s="2" t="s">
        <v>53</v>
      </c>
    </row>
    <row r="4" spans="1:8">
      <c r="A4" s="117" t="s">
        <v>26</v>
      </c>
    </row>
    <row r="5" spans="1:8" ht="16.5" customHeight="1">
      <c r="B5" s="2"/>
    </row>
    <row r="7" spans="1:8" ht="27.75" customHeight="1">
      <c r="A7" s="12" t="s">
        <v>27</v>
      </c>
      <c r="B7" s="3" t="s">
        <v>316</v>
      </c>
    </row>
    <row r="8" spans="1:8" ht="26.25" customHeight="1">
      <c r="A8" s="12" t="s">
        <v>28</v>
      </c>
      <c r="B8" s="3" t="s">
        <v>314</v>
      </c>
    </row>
    <row r="10" spans="1:8">
      <c r="A10" s="7" t="s">
        <v>29</v>
      </c>
      <c r="B10" s="28" t="s">
        <v>125</v>
      </c>
      <c r="C10" s="29"/>
    </row>
    <row r="11" spans="1:8">
      <c r="A11" s="7" t="s">
        <v>49</v>
      </c>
      <c r="B11" s="160">
        <v>41640</v>
      </c>
      <c r="C11" s="29"/>
    </row>
    <row r="12" spans="1:8" ht="15" customHeight="1">
      <c r="A12" s="7" t="s">
        <v>31</v>
      </c>
      <c r="B12" s="10" t="s">
        <v>32</v>
      </c>
      <c r="C12" s="9"/>
    </row>
    <row r="13" spans="1:8" ht="15" customHeight="1">
      <c r="A13" s="7" t="s">
        <v>33</v>
      </c>
      <c r="B13" s="10" t="s">
        <v>54</v>
      </c>
      <c r="C13" s="36" t="s">
        <v>55</v>
      </c>
    </row>
    <row r="14" spans="1:8" ht="15" customHeight="1">
      <c r="A14" s="10" t="s">
        <v>35</v>
      </c>
      <c r="B14" s="10" t="s">
        <v>36</v>
      </c>
      <c r="C14" s="9"/>
    </row>
    <row r="16" spans="1:8" ht="39" customHeight="1">
      <c r="A16" s="11" t="s">
        <v>37</v>
      </c>
      <c r="B16" s="5" t="s">
        <v>38</v>
      </c>
      <c r="C16" s="5" t="s">
        <v>39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</row>
    <row r="17" spans="1:8" ht="15" customHeight="1">
      <c r="A17" s="134" t="s">
        <v>270</v>
      </c>
      <c r="B17" s="167">
        <v>400</v>
      </c>
      <c r="C17" s="166">
        <v>0.3</v>
      </c>
      <c r="D17" s="167">
        <f t="shared" ref="D17:D27" si="0">B17*(1-C17)</f>
        <v>280</v>
      </c>
      <c r="E17" s="166">
        <v>0.15</v>
      </c>
      <c r="F17" s="167">
        <f t="shared" ref="F17:F27" si="1">D17*(1-E17)</f>
        <v>238</v>
      </c>
      <c r="G17" s="166">
        <v>0.2</v>
      </c>
      <c r="H17" s="195" t="s">
        <v>350</v>
      </c>
    </row>
    <row r="18" spans="1:8" ht="15" customHeight="1">
      <c r="A18" s="134" t="s">
        <v>264</v>
      </c>
      <c r="B18" s="167">
        <v>400</v>
      </c>
      <c r="C18" s="166">
        <v>0.3</v>
      </c>
      <c r="D18" s="167">
        <f t="shared" si="0"/>
        <v>280</v>
      </c>
      <c r="E18" s="166">
        <v>0.15</v>
      </c>
      <c r="F18" s="167">
        <f t="shared" si="1"/>
        <v>238</v>
      </c>
      <c r="G18" s="166">
        <v>0.2</v>
      </c>
      <c r="H18" s="195" t="s">
        <v>350</v>
      </c>
    </row>
    <row r="19" spans="1:8" ht="15" customHeight="1">
      <c r="A19" s="134" t="s">
        <v>265</v>
      </c>
      <c r="B19" s="167">
        <v>450</v>
      </c>
      <c r="C19" s="166">
        <v>0.3</v>
      </c>
      <c r="D19" s="167">
        <f t="shared" si="0"/>
        <v>315</v>
      </c>
      <c r="E19" s="166">
        <v>0.15</v>
      </c>
      <c r="F19" s="167">
        <f t="shared" si="1"/>
        <v>267.75</v>
      </c>
      <c r="G19" s="166">
        <v>0.3</v>
      </c>
      <c r="H19" s="195" t="s">
        <v>349</v>
      </c>
    </row>
    <row r="20" spans="1:8" ht="15" customHeight="1">
      <c r="A20" s="134" t="s">
        <v>266</v>
      </c>
      <c r="B20" s="167">
        <f>378*1.2</f>
        <v>453.59999999999997</v>
      </c>
      <c r="C20" s="183">
        <v>0.15</v>
      </c>
      <c r="D20" s="167">
        <f t="shared" si="0"/>
        <v>385.55999999999995</v>
      </c>
      <c r="E20" s="166">
        <v>0.15</v>
      </c>
      <c r="F20" s="167">
        <f t="shared" si="1"/>
        <v>327.72599999999994</v>
      </c>
      <c r="G20" s="166">
        <v>0.1</v>
      </c>
      <c r="H20" s="4" t="s">
        <v>370</v>
      </c>
    </row>
    <row r="21" spans="1:8" ht="15" customHeight="1">
      <c r="A21" s="134" t="s">
        <v>269</v>
      </c>
      <c r="B21" s="167">
        <f>378*1.2</f>
        <v>453.59999999999997</v>
      </c>
      <c r="C21" s="183">
        <v>0.15</v>
      </c>
      <c r="D21" s="167">
        <f t="shared" si="0"/>
        <v>385.55999999999995</v>
      </c>
      <c r="E21" s="166">
        <v>0.15</v>
      </c>
      <c r="F21" s="167">
        <f t="shared" si="1"/>
        <v>327.72599999999994</v>
      </c>
      <c r="G21" s="166">
        <v>0.1</v>
      </c>
      <c r="H21" s="195" t="s">
        <v>370</v>
      </c>
    </row>
    <row r="22" spans="1:8" ht="15" customHeight="1">
      <c r="A22" s="134" t="s">
        <v>274</v>
      </c>
      <c r="B22" s="167">
        <f t="shared" ref="B22:B23" si="2">378*1.2</f>
        <v>453.59999999999997</v>
      </c>
      <c r="C22" s="183">
        <v>0.15</v>
      </c>
      <c r="D22" s="167">
        <f t="shared" si="0"/>
        <v>385.55999999999995</v>
      </c>
      <c r="E22" s="166">
        <v>0.15</v>
      </c>
      <c r="F22" s="167">
        <f t="shared" si="1"/>
        <v>327.72599999999994</v>
      </c>
      <c r="G22" s="166">
        <v>0.1</v>
      </c>
      <c r="H22" s="195" t="s">
        <v>370</v>
      </c>
    </row>
    <row r="23" spans="1:8" ht="15" customHeight="1">
      <c r="A23" s="134" t="s">
        <v>273</v>
      </c>
      <c r="B23" s="167">
        <f t="shared" si="2"/>
        <v>453.59999999999997</v>
      </c>
      <c r="C23" s="183">
        <v>0.15</v>
      </c>
      <c r="D23" s="167">
        <f t="shared" si="0"/>
        <v>385.55999999999995</v>
      </c>
      <c r="E23" s="166">
        <v>0.15</v>
      </c>
      <c r="F23" s="167">
        <f t="shared" si="1"/>
        <v>327.72599999999994</v>
      </c>
      <c r="G23" s="166">
        <v>0.1</v>
      </c>
      <c r="H23" s="195" t="s">
        <v>370</v>
      </c>
    </row>
    <row r="24" spans="1:8" ht="15" customHeight="1">
      <c r="A24" s="134" t="s">
        <v>267</v>
      </c>
      <c r="B24" s="167">
        <v>580.79999999999995</v>
      </c>
      <c r="C24" s="183">
        <v>0.3</v>
      </c>
      <c r="D24" s="167">
        <f t="shared" si="0"/>
        <v>406.55999999999995</v>
      </c>
      <c r="E24" s="166">
        <v>0.15</v>
      </c>
      <c r="F24" s="167">
        <f t="shared" si="1"/>
        <v>345.57599999999996</v>
      </c>
      <c r="G24" s="166">
        <v>0.1</v>
      </c>
      <c r="H24" s="195" t="s">
        <v>370</v>
      </c>
    </row>
    <row r="25" spans="1:8" ht="15" customHeight="1">
      <c r="A25" s="134" t="s">
        <v>268</v>
      </c>
      <c r="B25" s="167">
        <v>580.79999999999995</v>
      </c>
      <c r="C25" s="183">
        <v>0.3</v>
      </c>
      <c r="D25" s="167">
        <f t="shared" si="0"/>
        <v>406.55999999999995</v>
      </c>
      <c r="E25" s="166">
        <v>0.15</v>
      </c>
      <c r="F25" s="167">
        <f t="shared" si="1"/>
        <v>345.57599999999996</v>
      </c>
      <c r="G25" s="166">
        <v>0.1</v>
      </c>
      <c r="H25" s="195" t="s">
        <v>370</v>
      </c>
    </row>
    <row r="26" spans="1:8" ht="15" customHeight="1">
      <c r="A26" s="134" t="s">
        <v>271</v>
      </c>
      <c r="B26" s="167">
        <v>250</v>
      </c>
      <c r="C26" s="166">
        <v>0.3</v>
      </c>
      <c r="D26" s="167">
        <f t="shared" si="0"/>
        <v>175</v>
      </c>
      <c r="E26" s="166">
        <v>0.15</v>
      </c>
      <c r="F26" s="167">
        <f t="shared" si="1"/>
        <v>148.75</v>
      </c>
      <c r="G26" s="166">
        <v>0.2</v>
      </c>
      <c r="H26" s="195" t="s">
        <v>350</v>
      </c>
    </row>
    <row r="27" spans="1:8" ht="15" customHeight="1">
      <c r="A27" s="134" t="s">
        <v>272</v>
      </c>
      <c r="B27" s="167">
        <v>250</v>
      </c>
      <c r="C27" s="166">
        <v>0.3</v>
      </c>
      <c r="D27" s="167">
        <f t="shared" si="0"/>
        <v>175</v>
      </c>
      <c r="E27" s="166">
        <v>0.15</v>
      </c>
      <c r="F27" s="167">
        <f t="shared" si="1"/>
        <v>148.75</v>
      </c>
      <c r="G27" s="166">
        <v>0.2</v>
      </c>
      <c r="H27" s="195" t="s">
        <v>350</v>
      </c>
    </row>
    <row r="28" spans="1:8" ht="12.75" customHeight="1">
      <c r="A28" s="6"/>
      <c r="B28" s="20"/>
      <c r="C28" s="21"/>
      <c r="D28" s="21"/>
      <c r="E28" s="21"/>
      <c r="F28" s="21"/>
      <c r="G28" s="21"/>
      <c r="H28" s="21"/>
    </row>
    <row r="29" spans="1:8" ht="15.75" customHeight="1"/>
  </sheetData>
  <phoneticPr fontId="9" type="noConversion"/>
  <pageMargins left="0.25" right="0.25" top="0.5" bottom="0.5" header="0.5" footer="0.5"/>
  <pageSetup scale="69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H73"/>
  <sheetViews>
    <sheetView view="pageLayout" zoomScale="125" workbookViewId="0">
      <selection activeCell="E41" sqref="E41"/>
    </sheetView>
  </sheetViews>
  <sheetFormatPr baseColWidth="10" defaultColWidth="9.1640625" defaultRowHeight="13" x14ac:dyDescent="0"/>
  <cols>
    <col min="1" max="1" width="31.83203125" style="1" customWidth="1"/>
    <col min="2" max="2" width="21.1640625" style="1" customWidth="1"/>
    <col min="3" max="3" width="17.83203125" style="1" customWidth="1"/>
    <col min="4" max="4" width="17.33203125" style="1" customWidth="1"/>
    <col min="5" max="7" width="17.5" style="1" customWidth="1"/>
    <col min="8" max="8" width="35.83203125" style="1" customWidth="1"/>
    <col min="9" max="16384" width="9.1640625" style="1"/>
  </cols>
  <sheetData>
    <row r="2" spans="1:8" ht="25.5" customHeight="1"/>
    <row r="3" spans="1:8" ht="18">
      <c r="A3" s="2" t="s">
        <v>56</v>
      </c>
    </row>
    <row r="4" spans="1:8">
      <c r="A4" s="117" t="s">
        <v>26</v>
      </c>
    </row>
    <row r="6" spans="1:8" ht="27.75" customHeight="1">
      <c r="A6" s="12" t="s">
        <v>27</v>
      </c>
      <c r="B6" s="3" t="s">
        <v>316</v>
      </c>
    </row>
    <row r="7" spans="1:8" ht="26.25" customHeight="1">
      <c r="A7" s="12" t="s">
        <v>28</v>
      </c>
      <c r="B7" s="3" t="s">
        <v>314</v>
      </c>
    </row>
    <row r="9" spans="1:8">
      <c r="A9" s="7" t="s">
        <v>29</v>
      </c>
      <c r="B9" s="28" t="s">
        <v>125</v>
      </c>
      <c r="C9" s="29"/>
    </row>
    <row r="10" spans="1:8">
      <c r="A10" s="7" t="s">
        <v>49</v>
      </c>
      <c r="B10" s="160">
        <v>41640</v>
      </c>
      <c r="C10" s="29"/>
    </row>
    <row r="11" spans="1:8" ht="15" customHeight="1">
      <c r="A11" s="7" t="s">
        <v>31</v>
      </c>
      <c r="B11" s="7" t="s">
        <v>32</v>
      </c>
      <c r="C11" s="9"/>
    </row>
    <row r="12" spans="1:8" ht="15" customHeight="1">
      <c r="A12" s="7" t="s">
        <v>33</v>
      </c>
      <c r="B12" s="31" t="s">
        <v>57</v>
      </c>
      <c r="C12" s="37" t="s">
        <v>58</v>
      </c>
    </row>
    <row r="13" spans="1:8" ht="15" customHeight="1">
      <c r="A13" s="7" t="s">
        <v>35</v>
      </c>
      <c r="B13" s="7" t="s">
        <v>36</v>
      </c>
      <c r="C13" s="9"/>
    </row>
    <row r="15" spans="1:8" ht="39" customHeight="1">
      <c r="A15" s="11" t="s">
        <v>59</v>
      </c>
      <c r="B15" s="5" t="s">
        <v>38</v>
      </c>
      <c r="C15" s="5" t="s">
        <v>39</v>
      </c>
      <c r="D15" s="5" t="s">
        <v>40</v>
      </c>
      <c r="E15" s="5" t="s">
        <v>41</v>
      </c>
      <c r="F15" s="5" t="s">
        <v>42</v>
      </c>
      <c r="G15" s="5" t="s">
        <v>43</v>
      </c>
      <c r="H15" s="5" t="s">
        <v>44</v>
      </c>
    </row>
    <row r="16" spans="1:8" ht="15" customHeight="1">
      <c r="A16" s="226" t="s">
        <v>219</v>
      </c>
      <c r="B16" s="205">
        <v>16</v>
      </c>
      <c r="C16" s="199">
        <v>0.38</v>
      </c>
      <c r="D16" s="205">
        <v>10</v>
      </c>
      <c r="E16" s="196">
        <v>0.2</v>
      </c>
      <c r="F16" s="207">
        <f>+D16*0.85</f>
        <v>8.5</v>
      </c>
      <c r="G16" s="166">
        <v>0.15</v>
      </c>
      <c r="H16" s="195" t="s">
        <v>351</v>
      </c>
    </row>
    <row r="17" spans="1:8" ht="15" customHeight="1">
      <c r="A17" s="226" t="s">
        <v>275</v>
      </c>
      <c r="B17" s="205">
        <v>30</v>
      </c>
      <c r="C17" s="199">
        <v>0.46666666666666667</v>
      </c>
      <c r="D17" s="205">
        <v>16</v>
      </c>
      <c r="E17" s="196">
        <v>0.2</v>
      </c>
      <c r="F17" s="205">
        <v>12.8</v>
      </c>
      <c r="G17" s="166">
        <v>0.15</v>
      </c>
      <c r="H17" s="195" t="s">
        <v>335</v>
      </c>
    </row>
    <row r="18" spans="1:8" ht="15" customHeight="1">
      <c r="A18" s="226" t="s">
        <v>276</v>
      </c>
      <c r="B18" s="205">
        <v>9</v>
      </c>
      <c r="C18" s="199">
        <v>0.22222222222222221</v>
      </c>
      <c r="D18" s="205">
        <v>7</v>
      </c>
      <c r="E18" s="197">
        <v>0.2</v>
      </c>
      <c r="F18" s="205">
        <v>5.6</v>
      </c>
      <c r="G18" s="166">
        <v>0.15</v>
      </c>
      <c r="H18" s="195" t="s">
        <v>337</v>
      </c>
    </row>
    <row r="19" spans="1:8" ht="15" customHeight="1">
      <c r="A19" s="226" t="s">
        <v>220</v>
      </c>
      <c r="B19" s="205">
        <v>20</v>
      </c>
      <c r="C19" s="199">
        <v>0.30000000000000004</v>
      </c>
      <c r="D19" s="205">
        <v>14</v>
      </c>
      <c r="E19" s="198">
        <v>0.2</v>
      </c>
      <c r="F19" s="205">
        <v>11.2</v>
      </c>
      <c r="G19" s="166">
        <v>0.15</v>
      </c>
      <c r="H19" s="195" t="s">
        <v>337</v>
      </c>
    </row>
    <row r="20" spans="1:8" ht="15" customHeight="1">
      <c r="A20" s="226" t="s">
        <v>221</v>
      </c>
      <c r="B20" s="205">
        <v>30</v>
      </c>
      <c r="C20" s="199">
        <v>0.46666666666666667</v>
      </c>
      <c r="D20" s="205">
        <v>16</v>
      </c>
      <c r="E20" s="198">
        <v>0.2</v>
      </c>
      <c r="F20" s="205">
        <v>12.8</v>
      </c>
      <c r="G20" s="166">
        <v>0.15</v>
      </c>
      <c r="H20" s="195" t="s">
        <v>335</v>
      </c>
    </row>
    <row r="21" spans="1:8" ht="15" customHeight="1">
      <c r="A21" s="226" t="s">
        <v>222</v>
      </c>
      <c r="B21" s="205">
        <v>26</v>
      </c>
      <c r="C21" s="199">
        <v>0.38461538461538458</v>
      </c>
      <c r="D21" s="205">
        <v>16</v>
      </c>
      <c r="E21" s="198">
        <v>0.2</v>
      </c>
      <c r="F21" s="205">
        <v>12.8</v>
      </c>
      <c r="G21" s="166">
        <v>0.15</v>
      </c>
      <c r="H21" s="195" t="s">
        <v>337</v>
      </c>
    </row>
    <row r="22" spans="1:8" ht="15" customHeight="1">
      <c r="A22" s="226" t="s">
        <v>160</v>
      </c>
      <c r="B22" s="205">
        <v>30</v>
      </c>
      <c r="C22" s="199">
        <v>0.5</v>
      </c>
      <c r="D22" s="205">
        <v>15</v>
      </c>
      <c r="E22" s="198">
        <v>0.2</v>
      </c>
      <c r="F22" s="205">
        <v>12</v>
      </c>
      <c r="G22" s="166">
        <v>0.15</v>
      </c>
      <c r="H22" s="195" t="s">
        <v>335</v>
      </c>
    </row>
    <row r="23" spans="1:8" ht="15" customHeight="1">
      <c r="A23" s="226" t="s">
        <v>223</v>
      </c>
      <c r="B23" s="205">
        <v>11</v>
      </c>
      <c r="C23" s="199">
        <v>0.45454545454545459</v>
      </c>
      <c r="D23" s="205">
        <v>6</v>
      </c>
      <c r="E23" s="198">
        <v>0.2</v>
      </c>
      <c r="F23" s="205">
        <v>4.8</v>
      </c>
      <c r="G23" s="166">
        <v>0.15</v>
      </c>
      <c r="H23" s="195" t="s">
        <v>337</v>
      </c>
    </row>
    <row r="24" spans="1:8" ht="15" customHeight="1">
      <c r="A24" s="226" t="s">
        <v>161</v>
      </c>
      <c r="B24" s="205">
        <v>20</v>
      </c>
      <c r="C24" s="199">
        <v>0.4</v>
      </c>
      <c r="D24" s="205">
        <v>12</v>
      </c>
      <c r="E24" s="198">
        <v>0.2</v>
      </c>
      <c r="F24" s="205">
        <v>9.6</v>
      </c>
      <c r="G24" s="166">
        <v>0.15</v>
      </c>
      <c r="H24" s="195" t="s">
        <v>337</v>
      </c>
    </row>
    <row r="25" spans="1:8" ht="15" customHeight="1">
      <c r="A25" s="226" t="s">
        <v>224</v>
      </c>
      <c r="B25" s="205">
        <v>25</v>
      </c>
      <c r="C25" s="199">
        <v>0.4</v>
      </c>
      <c r="D25" s="205">
        <v>15</v>
      </c>
      <c r="E25" s="198">
        <v>0.2</v>
      </c>
      <c r="F25" s="205">
        <v>12</v>
      </c>
      <c r="G25" s="166">
        <v>0.15</v>
      </c>
      <c r="H25" s="195" t="s">
        <v>337</v>
      </c>
    </row>
    <row r="26" spans="1:8" ht="15" customHeight="1">
      <c r="A26" s="226" t="s">
        <v>225</v>
      </c>
      <c r="B26" s="205">
        <v>6</v>
      </c>
      <c r="C26" s="199">
        <v>0.16666666666666663</v>
      </c>
      <c r="D26" s="205">
        <v>5</v>
      </c>
      <c r="E26" s="198">
        <v>0.2</v>
      </c>
      <c r="F26" s="205">
        <v>4</v>
      </c>
      <c r="G26" s="166">
        <v>0.15</v>
      </c>
      <c r="H26" s="195" t="s">
        <v>337</v>
      </c>
    </row>
    <row r="27" spans="1:8" ht="15" customHeight="1">
      <c r="A27" s="226" t="s">
        <v>226</v>
      </c>
      <c r="B27" s="205">
        <v>13.5</v>
      </c>
      <c r="C27" s="199">
        <v>0.44444444444444442</v>
      </c>
      <c r="D27" s="205">
        <v>7.5</v>
      </c>
      <c r="E27" s="198">
        <v>0.2</v>
      </c>
      <c r="F27" s="205">
        <v>6</v>
      </c>
      <c r="G27" s="166">
        <v>0.15</v>
      </c>
      <c r="H27" s="195" t="s">
        <v>337</v>
      </c>
    </row>
    <row r="28" spans="1:8" ht="15" customHeight="1">
      <c r="A28" s="226" t="s">
        <v>227</v>
      </c>
      <c r="B28" s="205">
        <v>13.5</v>
      </c>
      <c r="C28" s="199">
        <v>0.44444444444444442</v>
      </c>
      <c r="D28" s="205">
        <v>7.5</v>
      </c>
      <c r="E28" s="198">
        <v>0.2</v>
      </c>
      <c r="F28" s="205">
        <v>6</v>
      </c>
      <c r="G28" s="166">
        <v>0.15</v>
      </c>
      <c r="H28" s="195" t="s">
        <v>337</v>
      </c>
    </row>
    <row r="29" spans="1:8" ht="15" customHeight="1">
      <c r="A29" s="226" t="s">
        <v>162</v>
      </c>
      <c r="B29" s="205">
        <v>20</v>
      </c>
      <c r="C29" s="199">
        <v>0.30000000000000004</v>
      </c>
      <c r="D29" s="205">
        <v>14</v>
      </c>
      <c r="E29" s="198">
        <v>0.2</v>
      </c>
      <c r="F29" s="205">
        <v>11.2</v>
      </c>
      <c r="G29" s="166">
        <v>0.15</v>
      </c>
      <c r="H29" s="195" t="s">
        <v>335</v>
      </c>
    </row>
    <row r="30" spans="1:8" ht="15" customHeight="1">
      <c r="A30" s="226" t="s">
        <v>163</v>
      </c>
      <c r="B30" s="205">
        <v>19</v>
      </c>
      <c r="C30" s="199">
        <v>0.31578947368421051</v>
      </c>
      <c r="D30" s="205">
        <v>13</v>
      </c>
      <c r="E30" s="198">
        <v>0.2</v>
      </c>
      <c r="F30" s="205">
        <v>10.4</v>
      </c>
      <c r="G30" s="166">
        <v>0.15</v>
      </c>
      <c r="H30" s="195" t="s">
        <v>335</v>
      </c>
    </row>
    <row r="31" spans="1:8" ht="15" customHeight="1">
      <c r="A31" s="226" t="s">
        <v>164</v>
      </c>
      <c r="B31" s="205">
        <v>10</v>
      </c>
      <c r="C31" s="199">
        <v>0.35</v>
      </c>
      <c r="D31" s="205">
        <v>6.5</v>
      </c>
      <c r="E31" s="198">
        <v>0.2</v>
      </c>
      <c r="F31" s="205">
        <v>5.2</v>
      </c>
      <c r="G31" s="166">
        <v>0.15</v>
      </c>
      <c r="H31" s="195" t="s">
        <v>337</v>
      </c>
    </row>
    <row r="32" spans="1:8" ht="15" customHeight="1">
      <c r="A32" s="226" t="s">
        <v>228</v>
      </c>
      <c r="B32" s="205">
        <v>21</v>
      </c>
      <c r="C32" s="199">
        <v>0.33333333333333337</v>
      </c>
      <c r="D32" s="205">
        <v>14</v>
      </c>
      <c r="E32" s="198">
        <v>0.2</v>
      </c>
      <c r="F32" s="205">
        <v>11.2</v>
      </c>
      <c r="G32" s="166">
        <v>0.15</v>
      </c>
      <c r="H32" s="195" t="s">
        <v>335</v>
      </c>
    </row>
    <row r="33" spans="1:8" ht="15" customHeight="1">
      <c r="A33" s="226" t="s">
        <v>229</v>
      </c>
      <c r="B33" s="206">
        <v>26</v>
      </c>
      <c r="C33" s="201">
        <v>0.57692307692307687</v>
      </c>
      <c r="D33" s="206">
        <v>11</v>
      </c>
      <c r="E33" s="202">
        <v>0.2</v>
      </c>
      <c r="F33" s="206">
        <v>8.8000000000000007</v>
      </c>
      <c r="G33" s="166">
        <v>0.15</v>
      </c>
      <c r="H33" s="195" t="s">
        <v>337</v>
      </c>
    </row>
    <row r="34" spans="1:8" ht="15" customHeight="1">
      <c r="A34" s="226" t="s">
        <v>230</v>
      </c>
      <c r="B34" s="206">
        <v>25</v>
      </c>
      <c r="C34" s="201">
        <v>0.48</v>
      </c>
      <c r="D34" s="206">
        <v>13</v>
      </c>
      <c r="E34" s="202">
        <v>0.2</v>
      </c>
      <c r="F34" s="206">
        <v>10.4</v>
      </c>
      <c r="G34" s="166">
        <v>0.15</v>
      </c>
      <c r="H34" s="195" t="s">
        <v>337</v>
      </c>
    </row>
    <row r="35" spans="1:8" ht="15" customHeight="1">
      <c r="A35" s="226" t="s">
        <v>165</v>
      </c>
      <c r="B35" s="206">
        <v>25</v>
      </c>
      <c r="C35" s="201">
        <v>0.38400000000000001</v>
      </c>
      <c r="D35" s="206">
        <v>15.4</v>
      </c>
      <c r="E35" s="202">
        <v>0.2</v>
      </c>
      <c r="F35" s="206">
        <v>12.32</v>
      </c>
      <c r="G35" s="166"/>
      <c r="H35" s="195"/>
    </row>
    <row r="36" spans="1:8" ht="15" customHeight="1">
      <c r="A36" s="226" t="s">
        <v>166</v>
      </c>
      <c r="B36" s="206">
        <v>25</v>
      </c>
      <c r="C36" s="201">
        <v>0.38400000000000001</v>
      </c>
      <c r="D36" s="206">
        <v>15.4</v>
      </c>
      <c r="E36" s="202">
        <v>0.2</v>
      </c>
      <c r="F36" s="206">
        <v>12.32</v>
      </c>
      <c r="G36" s="166"/>
      <c r="H36" s="195"/>
    </row>
    <row r="37" spans="1:8" ht="15" customHeight="1">
      <c r="A37" s="226" t="s">
        <v>167</v>
      </c>
      <c r="B37" s="206">
        <v>25</v>
      </c>
      <c r="C37" s="201">
        <v>0.38400000000000001</v>
      </c>
      <c r="D37" s="206">
        <v>15.4</v>
      </c>
      <c r="E37" s="202">
        <v>0.2</v>
      </c>
      <c r="F37" s="206">
        <v>12.32</v>
      </c>
      <c r="G37" s="166"/>
      <c r="H37" s="195"/>
    </row>
    <row r="38" spans="1:8" ht="15" customHeight="1">
      <c r="A38" s="226" t="s">
        <v>231</v>
      </c>
      <c r="B38" s="207">
        <v>25</v>
      </c>
      <c r="C38" s="203">
        <v>0.38400000000000001</v>
      </c>
      <c r="D38" s="207">
        <v>15.4</v>
      </c>
      <c r="E38" s="204">
        <v>0.2</v>
      </c>
      <c r="F38" s="207">
        <v>12.32</v>
      </c>
      <c r="G38" s="166"/>
      <c r="H38" s="195"/>
    </row>
    <row r="39" spans="1:8" ht="15" customHeight="1">
      <c r="A39" s="226" t="s">
        <v>168</v>
      </c>
      <c r="B39" s="207">
        <v>25</v>
      </c>
      <c r="C39" s="203">
        <v>0.19999999999999996</v>
      </c>
      <c r="D39" s="207">
        <v>20</v>
      </c>
      <c r="E39" s="204">
        <v>0.2</v>
      </c>
      <c r="F39" s="207">
        <v>16</v>
      </c>
      <c r="G39" s="166"/>
      <c r="H39" s="195"/>
    </row>
    <row r="40" spans="1:8" ht="15" customHeight="1">
      <c r="A40" s="226" t="s">
        <v>232</v>
      </c>
      <c r="B40" s="207">
        <v>22</v>
      </c>
      <c r="C40" s="203">
        <v>0.29999999999999993</v>
      </c>
      <c r="D40" s="207">
        <v>15.4</v>
      </c>
      <c r="E40" s="204">
        <v>0.2</v>
      </c>
      <c r="F40" s="207">
        <v>12.32</v>
      </c>
      <c r="G40" s="166"/>
      <c r="H40" s="195"/>
    </row>
    <row r="41" spans="1:8" ht="15" customHeight="1">
      <c r="A41" s="226" t="s">
        <v>233</v>
      </c>
      <c r="B41" s="208">
        <v>6</v>
      </c>
      <c r="C41" s="203">
        <v>0.25</v>
      </c>
      <c r="D41" s="208">
        <v>4.5</v>
      </c>
      <c r="E41" s="204">
        <v>0.2</v>
      </c>
      <c r="F41" s="208">
        <v>3.6</v>
      </c>
      <c r="G41" s="166">
        <v>0.15</v>
      </c>
      <c r="H41" s="195" t="s">
        <v>337</v>
      </c>
    </row>
    <row r="42" spans="1:8" ht="15" customHeight="1">
      <c r="A42" s="226" t="s">
        <v>234</v>
      </c>
      <c r="B42" s="207">
        <v>15</v>
      </c>
      <c r="C42" s="203">
        <v>0.2</v>
      </c>
      <c r="D42" s="207">
        <v>12</v>
      </c>
      <c r="E42" s="204">
        <v>0.2</v>
      </c>
      <c r="F42" s="207">
        <f>+D42*0.85</f>
        <v>10.199999999999999</v>
      </c>
      <c r="G42" s="166">
        <v>0.1</v>
      </c>
      <c r="H42" s="195" t="s">
        <v>336</v>
      </c>
    </row>
    <row r="43" spans="1:8" ht="15" customHeight="1">
      <c r="A43" s="226" t="s">
        <v>235</v>
      </c>
      <c r="B43" s="207">
        <v>19</v>
      </c>
      <c r="C43" s="203">
        <v>0.26315789473684215</v>
      </c>
      <c r="D43" s="207">
        <v>14</v>
      </c>
      <c r="E43" s="204">
        <v>0.2</v>
      </c>
      <c r="F43" s="207">
        <v>11.2</v>
      </c>
      <c r="G43" s="166">
        <v>0.15</v>
      </c>
      <c r="H43" s="195" t="s">
        <v>337</v>
      </c>
    </row>
    <row r="44" spans="1:8" ht="15" customHeight="1">
      <c r="A44" s="226" t="s">
        <v>236</v>
      </c>
      <c r="B44" s="207">
        <v>13.2</v>
      </c>
      <c r="C44" s="203">
        <v>0.24242424242424243</v>
      </c>
      <c r="D44" s="207">
        <v>10</v>
      </c>
      <c r="E44" s="204">
        <v>0.2</v>
      </c>
      <c r="F44" s="207">
        <v>8</v>
      </c>
      <c r="G44" s="166">
        <v>0.15</v>
      </c>
      <c r="H44" s="195" t="s">
        <v>337</v>
      </c>
    </row>
    <row r="45" spans="1:8" ht="15" customHeight="1">
      <c r="A45" s="226" t="s">
        <v>237</v>
      </c>
      <c r="B45" s="207">
        <v>36</v>
      </c>
      <c r="C45" s="203">
        <v>0.38888888888888884</v>
      </c>
      <c r="D45" s="207">
        <v>22</v>
      </c>
      <c r="E45" s="204">
        <v>0.2</v>
      </c>
      <c r="F45" s="207">
        <v>17.600000000000001</v>
      </c>
      <c r="G45" s="166">
        <v>0.15</v>
      </c>
      <c r="H45" s="195" t="s">
        <v>335</v>
      </c>
    </row>
    <row r="46" spans="1:8" ht="15" customHeight="1">
      <c r="A46" s="226" t="s">
        <v>238</v>
      </c>
      <c r="B46" s="207">
        <v>12</v>
      </c>
      <c r="C46" s="203">
        <v>0.41666666666666663</v>
      </c>
      <c r="D46" s="207">
        <v>7</v>
      </c>
      <c r="E46" s="204">
        <v>0.2</v>
      </c>
      <c r="F46" s="207">
        <v>5.6</v>
      </c>
      <c r="G46" s="166">
        <v>0.15</v>
      </c>
      <c r="H46" s="195" t="s">
        <v>337</v>
      </c>
    </row>
    <row r="47" spans="1:8" ht="15" customHeight="1">
      <c r="A47" s="226" t="s">
        <v>169</v>
      </c>
      <c r="B47" s="210">
        <v>19</v>
      </c>
      <c r="C47" s="203">
        <v>0.26315789473684215</v>
      </c>
      <c r="D47" s="207">
        <v>14</v>
      </c>
      <c r="E47" s="204">
        <v>0.2</v>
      </c>
      <c r="F47" s="207">
        <v>11.2</v>
      </c>
      <c r="G47" s="166">
        <v>0.15</v>
      </c>
      <c r="H47" s="195" t="s">
        <v>337</v>
      </c>
    </row>
    <row r="48" spans="1:8" ht="15" customHeight="1">
      <c r="A48" s="226" t="s">
        <v>239</v>
      </c>
      <c r="B48" s="210">
        <v>14.1</v>
      </c>
      <c r="C48" s="203">
        <v>0</v>
      </c>
      <c r="D48" s="207">
        <v>14.1</v>
      </c>
      <c r="E48" s="204">
        <v>0.2</v>
      </c>
      <c r="F48" s="207">
        <v>11.28</v>
      </c>
      <c r="G48" s="166">
        <v>0.15</v>
      </c>
      <c r="H48" s="195" t="s">
        <v>336</v>
      </c>
    </row>
    <row r="49" spans="1:8" ht="15" customHeight="1">
      <c r="A49" s="226" t="s">
        <v>170</v>
      </c>
      <c r="B49" s="207">
        <v>20</v>
      </c>
      <c r="C49" s="203">
        <v>0.19999999999999996</v>
      </c>
      <c r="D49" s="207">
        <v>16</v>
      </c>
      <c r="E49" s="204">
        <v>0.2</v>
      </c>
      <c r="F49" s="207">
        <v>12.8</v>
      </c>
      <c r="G49" s="166"/>
      <c r="H49" s="195"/>
    </row>
    <row r="50" spans="1:8" ht="15" customHeight="1">
      <c r="A50" s="226" t="s">
        <v>240</v>
      </c>
      <c r="B50" s="207">
        <v>18</v>
      </c>
      <c r="C50" s="203">
        <v>0.19444444444444442</v>
      </c>
      <c r="D50" s="207">
        <v>14.5</v>
      </c>
      <c r="E50" s="204">
        <v>0.2</v>
      </c>
      <c r="F50" s="207">
        <v>11.6</v>
      </c>
      <c r="G50" s="166">
        <v>0.1</v>
      </c>
      <c r="H50" s="195" t="s">
        <v>336</v>
      </c>
    </row>
    <row r="51" spans="1:8" ht="15" customHeight="1">
      <c r="A51" s="226" t="s">
        <v>241</v>
      </c>
      <c r="B51" s="207">
        <v>20</v>
      </c>
      <c r="C51" s="203">
        <v>0.4</v>
      </c>
      <c r="D51" s="207">
        <v>12</v>
      </c>
      <c r="E51" s="204">
        <v>0.2</v>
      </c>
      <c r="F51" s="207">
        <v>9.6</v>
      </c>
      <c r="G51" s="166">
        <v>0.1</v>
      </c>
      <c r="H51" s="195" t="s">
        <v>336</v>
      </c>
    </row>
    <row r="52" spans="1:8" ht="15" customHeight="1">
      <c r="A52" s="226" t="s">
        <v>242</v>
      </c>
      <c r="B52" s="210">
        <v>18</v>
      </c>
      <c r="C52" s="203">
        <v>0.33333333333333337</v>
      </c>
      <c r="D52" s="207">
        <v>12</v>
      </c>
      <c r="E52" s="204">
        <v>0.2</v>
      </c>
      <c r="F52" s="207">
        <v>9.6</v>
      </c>
      <c r="G52" s="166">
        <v>0.15</v>
      </c>
      <c r="H52" s="195" t="s">
        <v>336</v>
      </c>
    </row>
    <row r="53" spans="1:8" ht="15" customHeight="1">
      <c r="A53" s="226" t="s">
        <v>243</v>
      </c>
      <c r="B53" s="207">
        <v>15</v>
      </c>
      <c r="C53" s="203">
        <v>0.53333333333333333</v>
      </c>
      <c r="D53" s="207">
        <v>7</v>
      </c>
      <c r="E53" s="204">
        <v>0.2</v>
      </c>
      <c r="F53" s="207">
        <v>5.6</v>
      </c>
      <c r="G53" s="166">
        <v>0.15</v>
      </c>
      <c r="H53" s="195" t="s">
        <v>337</v>
      </c>
    </row>
    <row r="54" spans="1:8" ht="15" customHeight="1">
      <c r="A54" s="226" t="s">
        <v>171</v>
      </c>
      <c r="B54" s="209">
        <v>28</v>
      </c>
      <c r="C54" s="194">
        <v>0.3928571428571429</v>
      </c>
      <c r="D54" s="209">
        <v>17</v>
      </c>
      <c r="E54" s="200">
        <v>0.2</v>
      </c>
      <c r="F54" s="209">
        <v>13.6</v>
      </c>
      <c r="G54" s="166">
        <v>0.1</v>
      </c>
      <c r="H54" s="195" t="s">
        <v>336</v>
      </c>
    </row>
    <row r="55" spans="1:8" ht="15" customHeight="1">
      <c r="A55" s="226" t="s">
        <v>244</v>
      </c>
      <c r="B55" s="209">
        <v>18</v>
      </c>
      <c r="C55" s="194">
        <v>0.16666666666666663</v>
      </c>
      <c r="D55" s="209">
        <v>15</v>
      </c>
      <c r="E55" s="200">
        <v>0.2</v>
      </c>
      <c r="F55" s="209">
        <v>12</v>
      </c>
      <c r="G55" s="166">
        <v>0.15</v>
      </c>
      <c r="H55" s="195" t="s">
        <v>337</v>
      </c>
    </row>
    <row r="56" spans="1:8" ht="15" customHeight="1">
      <c r="A56" s="226" t="s">
        <v>245</v>
      </c>
      <c r="B56" s="209">
        <v>25</v>
      </c>
      <c r="C56" s="194">
        <v>0.28000000000000003</v>
      </c>
      <c r="D56" s="209">
        <v>18</v>
      </c>
      <c r="E56" s="200">
        <v>0.2</v>
      </c>
      <c r="F56" s="209">
        <v>14.4</v>
      </c>
      <c r="G56" s="166">
        <v>0.15</v>
      </c>
      <c r="H56" s="195" t="s">
        <v>337</v>
      </c>
    </row>
    <row r="57" spans="1:8" ht="15" customHeight="1">
      <c r="A57" s="226" t="s">
        <v>246</v>
      </c>
      <c r="B57" s="209">
        <v>15</v>
      </c>
      <c r="C57" s="194">
        <v>0.4</v>
      </c>
      <c r="D57" s="209">
        <v>9</v>
      </c>
      <c r="E57" s="200">
        <v>0.2</v>
      </c>
      <c r="F57" s="209">
        <v>7.2</v>
      </c>
      <c r="G57" s="166"/>
      <c r="H57" s="195"/>
    </row>
    <row r="58" spans="1:8" ht="15" customHeight="1">
      <c r="A58" s="226" t="s">
        <v>247</v>
      </c>
      <c r="B58" s="209">
        <v>20</v>
      </c>
      <c r="C58" s="194">
        <v>0.35</v>
      </c>
      <c r="D58" s="209">
        <v>13</v>
      </c>
      <c r="E58" s="200">
        <v>0.2</v>
      </c>
      <c r="F58" s="209">
        <v>10.4</v>
      </c>
      <c r="G58" s="166"/>
      <c r="H58" s="195"/>
    </row>
    <row r="59" spans="1:8" ht="15" customHeight="1">
      <c r="A59" s="226" t="s">
        <v>248</v>
      </c>
      <c r="B59" s="209">
        <v>23.9</v>
      </c>
      <c r="C59" s="194">
        <v>0.15</v>
      </c>
      <c r="D59" s="167">
        <f t="shared" ref="D59" si="0">B59*(1-C59)</f>
        <v>20.314999999999998</v>
      </c>
      <c r="E59" s="216">
        <v>0.2</v>
      </c>
      <c r="F59" s="209">
        <f t="shared" ref="F59:F61" si="1">D59*(1-E59)</f>
        <v>16.251999999999999</v>
      </c>
      <c r="G59" s="166">
        <v>0.15</v>
      </c>
      <c r="H59" s="195" t="s">
        <v>336</v>
      </c>
    </row>
    <row r="60" spans="1:8" ht="15" customHeight="1">
      <c r="A60" s="226" t="s">
        <v>249</v>
      </c>
      <c r="B60" s="209">
        <v>12</v>
      </c>
      <c r="C60" s="194">
        <v>0.41666666666666663</v>
      </c>
      <c r="D60" s="209">
        <v>7</v>
      </c>
      <c r="E60" s="200">
        <v>0.2</v>
      </c>
      <c r="F60" s="209">
        <v>5.6</v>
      </c>
      <c r="G60" s="166">
        <v>0.15</v>
      </c>
      <c r="H60" s="195" t="s">
        <v>337</v>
      </c>
    </row>
    <row r="61" spans="1:8" ht="15" customHeight="1">
      <c r="A61" s="226" t="s">
        <v>250</v>
      </c>
      <c r="B61" s="209">
        <v>15</v>
      </c>
      <c r="C61" s="194">
        <v>0</v>
      </c>
      <c r="D61" s="209">
        <v>15</v>
      </c>
      <c r="E61" s="216">
        <v>0.2</v>
      </c>
      <c r="F61" s="209">
        <f t="shared" si="1"/>
        <v>12</v>
      </c>
      <c r="G61" s="166"/>
      <c r="H61" s="195"/>
    </row>
    <row r="62" spans="1:8" ht="15" customHeight="1">
      <c r="A62" s="226" t="s">
        <v>251</v>
      </c>
      <c r="B62" s="209">
        <v>25</v>
      </c>
      <c r="C62" s="194">
        <v>0.19999999999999996</v>
      </c>
      <c r="D62" s="209">
        <v>20</v>
      </c>
      <c r="E62" s="200">
        <v>0.2</v>
      </c>
      <c r="F62" s="209">
        <v>16</v>
      </c>
      <c r="G62" s="166">
        <v>0.1</v>
      </c>
      <c r="H62" s="195" t="s">
        <v>336</v>
      </c>
    </row>
    <row r="63" spans="1:8" ht="15" customHeight="1">
      <c r="A63" s="226" t="s">
        <v>252</v>
      </c>
      <c r="B63" s="209">
        <v>15</v>
      </c>
      <c r="C63" s="194">
        <v>0.23333333333333328</v>
      </c>
      <c r="D63" s="209">
        <v>11.5</v>
      </c>
      <c r="E63" s="200">
        <v>0.2</v>
      </c>
      <c r="F63" s="209">
        <v>9.1999999999999993</v>
      </c>
      <c r="G63" s="166"/>
      <c r="H63" s="195"/>
    </row>
    <row r="64" spans="1:8" ht="15" customHeight="1">
      <c r="A64" s="226" t="s">
        <v>253</v>
      </c>
      <c r="B64" s="209">
        <v>10</v>
      </c>
      <c r="C64" s="194">
        <v>0.30000000000000004</v>
      </c>
      <c r="D64" s="209">
        <v>7</v>
      </c>
      <c r="E64" s="200">
        <v>0.2</v>
      </c>
      <c r="F64" s="209">
        <v>5.6</v>
      </c>
      <c r="G64" s="166">
        <v>0.15</v>
      </c>
      <c r="H64" s="195" t="s">
        <v>335</v>
      </c>
    </row>
    <row r="65" spans="1:8" ht="15" customHeight="1">
      <c r="A65" s="226" t="s">
        <v>172</v>
      </c>
      <c r="B65" s="209">
        <v>16</v>
      </c>
      <c r="C65" s="194">
        <v>0.125</v>
      </c>
      <c r="D65" s="209">
        <v>14</v>
      </c>
      <c r="E65" s="200">
        <v>0.2</v>
      </c>
      <c r="F65" s="209">
        <v>11.2</v>
      </c>
      <c r="G65" s="166"/>
      <c r="H65" s="195"/>
    </row>
    <row r="66" spans="1:8" ht="15" customHeight="1">
      <c r="A66" s="226" t="s">
        <v>173</v>
      </c>
      <c r="B66" s="209">
        <v>16</v>
      </c>
      <c r="C66" s="194">
        <v>0.125</v>
      </c>
      <c r="D66" s="209">
        <v>14</v>
      </c>
      <c r="E66" s="200">
        <v>0.2</v>
      </c>
      <c r="F66" s="209">
        <v>11.2</v>
      </c>
      <c r="G66" s="166"/>
      <c r="H66" s="195"/>
    </row>
    <row r="67" spans="1:8" ht="15" customHeight="1">
      <c r="A67" s="226" t="s">
        <v>174</v>
      </c>
      <c r="B67" s="209">
        <v>16</v>
      </c>
      <c r="C67" s="194">
        <v>0.125</v>
      </c>
      <c r="D67" s="209">
        <v>14</v>
      </c>
      <c r="E67" s="200">
        <v>0.2</v>
      </c>
      <c r="F67" s="209">
        <v>11.2</v>
      </c>
      <c r="G67" s="166"/>
      <c r="H67" s="195"/>
    </row>
    <row r="68" spans="1:8" ht="15" customHeight="1">
      <c r="A68" s="226" t="s">
        <v>175</v>
      </c>
      <c r="B68" s="209">
        <v>16</v>
      </c>
      <c r="C68" s="194">
        <v>0.125</v>
      </c>
      <c r="D68" s="209">
        <v>14</v>
      </c>
      <c r="E68" s="200">
        <v>0.2</v>
      </c>
      <c r="F68" s="209">
        <v>11.2</v>
      </c>
      <c r="G68" s="166"/>
      <c r="H68" s="195"/>
    </row>
    <row r="69" spans="1:8" ht="15" customHeight="1">
      <c r="A69" s="226" t="s">
        <v>176</v>
      </c>
      <c r="B69" s="209">
        <v>16</v>
      </c>
      <c r="C69" s="194">
        <v>0.125</v>
      </c>
      <c r="D69" s="209">
        <v>14</v>
      </c>
      <c r="E69" s="200">
        <v>0.2</v>
      </c>
      <c r="F69" s="209">
        <v>11.2</v>
      </c>
      <c r="G69" s="166"/>
      <c r="H69" s="195"/>
    </row>
    <row r="70" spans="1:8" ht="15" customHeight="1">
      <c r="A70" s="226" t="s">
        <v>177</v>
      </c>
      <c r="B70" s="209">
        <v>21</v>
      </c>
      <c r="C70" s="194">
        <v>0.2857142857142857</v>
      </c>
      <c r="D70" s="209">
        <v>15</v>
      </c>
      <c r="E70" s="200">
        <v>0.2</v>
      </c>
      <c r="F70" s="209">
        <v>12</v>
      </c>
      <c r="G70" s="166">
        <v>0.15</v>
      </c>
      <c r="H70" s="195" t="s">
        <v>336</v>
      </c>
    </row>
    <row r="71" spans="1:8" ht="15" customHeight="1">
      <c r="A71" s="226" t="s">
        <v>254</v>
      </c>
      <c r="B71" s="209">
        <v>16</v>
      </c>
      <c r="C71" s="194">
        <v>0.125</v>
      </c>
      <c r="D71" s="209">
        <v>14</v>
      </c>
      <c r="E71" s="200">
        <v>0.2</v>
      </c>
      <c r="F71" s="209">
        <v>11.2</v>
      </c>
      <c r="G71" s="166"/>
      <c r="H71" s="195"/>
    </row>
    <row r="72" spans="1:8" ht="15" customHeight="1">
      <c r="A72" s="226" t="s">
        <v>255</v>
      </c>
      <c r="B72" s="209">
        <v>15</v>
      </c>
      <c r="C72" s="194">
        <v>0.25</v>
      </c>
      <c r="D72" s="209">
        <v>11.25</v>
      </c>
      <c r="E72" s="200">
        <v>0.2</v>
      </c>
      <c r="F72" s="209">
        <v>9</v>
      </c>
      <c r="G72" s="166">
        <v>0.15</v>
      </c>
      <c r="H72" s="195" t="s">
        <v>335</v>
      </c>
    </row>
    <row r="73" spans="1:8" ht="12.75" customHeight="1">
      <c r="A73" s="11"/>
      <c r="B73" s="4"/>
      <c r="C73" s="4"/>
      <c r="D73" s="4"/>
      <c r="E73" s="4"/>
      <c r="F73" s="4"/>
      <c r="G73" s="4"/>
      <c r="H73" s="4"/>
    </row>
  </sheetData>
  <phoneticPr fontId="9" type="noConversion"/>
  <pageMargins left="0.2" right="0.2" top="0.5" bottom="0.5" header="0.3" footer="0.3"/>
  <pageSetup paperSize="9" scale="45" orientation="landscape"/>
  <drawing r:id="rId1"/>
  <extLst>
    <ext xmlns:mx="http://schemas.microsoft.com/office/mac/excel/2008/main" uri="{64002731-A6B0-56B0-2670-7721B7C09600}">
      <mx:PLV Mode="1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F35"/>
  <sheetViews>
    <sheetView zoomScale="125" zoomScaleNormal="125" zoomScalePageLayoutView="125" workbookViewId="0">
      <selection activeCell="E41" sqref="E41"/>
    </sheetView>
  </sheetViews>
  <sheetFormatPr baseColWidth="10" defaultColWidth="8.83203125" defaultRowHeight="12" x14ac:dyDescent="0"/>
  <cols>
    <col min="1" max="1" width="22.6640625" customWidth="1"/>
    <col min="2" max="2" width="29.1640625" bestFit="1" customWidth="1"/>
    <col min="3" max="3" width="20.5" customWidth="1"/>
    <col min="4" max="4" width="20.33203125" customWidth="1"/>
    <col min="5" max="5" width="21.1640625" customWidth="1"/>
    <col min="6" max="6" width="18.5" customWidth="1"/>
  </cols>
  <sheetData>
    <row r="2" spans="1:6" s="1" customFormat="1" ht="25.5" customHeight="1"/>
    <row r="3" spans="1:6" s="1" customFormat="1" ht="18">
      <c r="A3" s="2" t="s">
        <v>60</v>
      </c>
    </row>
    <row r="4" spans="1:6" s="1" customFormat="1" ht="13">
      <c r="A4" s="117" t="s">
        <v>26</v>
      </c>
    </row>
    <row r="5" spans="1:6" s="1" customFormat="1" ht="13.5" customHeight="1">
      <c r="A5" s="38"/>
    </row>
    <row r="6" spans="1:6" s="1" customFormat="1" ht="27.75" customHeight="1">
      <c r="A6" s="12" t="s">
        <v>27</v>
      </c>
      <c r="B6" s="3" t="s">
        <v>316</v>
      </c>
    </row>
    <row r="7" spans="1:6" s="1" customFormat="1" ht="26.25" customHeight="1">
      <c r="A7" s="12" t="s">
        <v>28</v>
      </c>
      <c r="B7" s="3" t="s">
        <v>314</v>
      </c>
    </row>
    <row r="9" spans="1:6" ht="13">
      <c r="A9" s="7" t="s">
        <v>29</v>
      </c>
      <c r="B9" s="28" t="s">
        <v>125</v>
      </c>
      <c r="C9" s="14"/>
      <c r="D9" s="14"/>
    </row>
    <row r="10" spans="1:6" ht="13">
      <c r="A10" s="7" t="s">
        <v>49</v>
      </c>
      <c r="B10" s="160">
        <v>41640</v>
      </c>
      <c r="C10" s="14"/>
      <c r="D10" s="14"/>
    </row>
    <row r="11" spans="1:6" ht="13">
      <c r="A11" s="7" t="s">
        <v>31</v>
      </c>
      <c r="B11" s="10" t="s">
        <v>61</v>
      </c>
      <c r="C11" s="14"/>
      <c r="D11" s="14"/>
    </row>
    <row r="12" spans="1:6" ht="13">
      <c r="A12" s="7" t="s">
        <v>35</v>
      </c>
      <c r="B12" s="10" t="s">
        <v>62</v>
      </c>
      <c r="C12" s="14"/>
      <c r="D12" s="14"/>
    </row>
    <row r="14" spans="1:6" ht="36">
      <c r="A14" s="15" t="s">
        <v>61</v>
      </c>
      <c r="B14" s="16" t="s">
        <v>63</v>
      </c>
      <c r="C14" s="17" t="s">
        <v>64</v>
      </c>
      <c r="D14" s="17" t="s">
        <v>65</v>
      </c>
      <c r="E14" s="17" t="s">
        <v>66</v>
      </c>
      <c r="F14" s="19" t="s">
        <v>67</v>
      </c>
    </row>
    <row r="15" spans="1:6">
      <c r="A15" s="18" t="s">
        <v>178</v>
      </c>
      <c r="B15" s="188">
        <v>4</v>
      </c>
      <c r="C15" s="189">
        <v>3050</v>
      </c>
      <c r="D15" s="191">
        <v>0.3</v>
      </c>
      <c r="E15" s="191">
        <v>0.05</v>
      </c>
      <c r="F15" s="188" t="s">
        <v>334</v>
      </c>
    </row>
    <row r="16" spans="1:6">
      <c r="A16" s="18" t="s">
        <v>179</v>
      </c>
      <c r="B16" s="188">
        <v>6</v>
      </c>
      <c r="C16" s="189">
        <v>3340</v>
      </c>
      <c r="D16" s="191">
        <v>0.25</v>
      </c>
      <c r="E16" s="191">
        <v>0.08</v>
      </c>
      <c r="F16" s="188" t="s">
        <v>334</v>
      </c>
    </row>
    <row r="17" spans="1:6">
      <c r="A17" s="18" t="s">
        <v>180</v>
      </c>
      <c r="B17" s="188">
        <v>3</v>
      </c>
      <c r="C17" s="189">
        <v>1350</v>
      </c>
      <c r="D17" s="191">
        <v>0.25</v>
      </c>
      <c r="E17" s="191">
        <v>0.08</v>
      </c>
      <c r="F17" s="188" t="s">
        <v>334</v>
      </c>
    </row>
    <row r="18" spans="1:6">
      <c r="A18" s="18" t="s">
        <v>181</v>
      </c>
      <c r="B18" s="188">
        <v>6</v>
      </c>
      <c r="C18" s="189">
        <v>3080</v>
      </c>
      <c r="D18" s="191">
        <v>0.3</v>
      </c>
      <c r="E18" s="191">
        <v>0.1</v>
      </c>
      <c r="F18" s="188" t="s">
        <v>334</v>
      </c>
    </row>
    <row r="19" spans="1:6">
      <c r="A19" s="18" t="s">
        <v>182</v>
      </c>
      <c r="B19" s="188">
        <v>6</v>
      </c>
      <c r="C19" s="189">
        <v>2710</v>
      </c>
      <c r="D19" s="191">
        <v>0.25</v>
      </c>
      <c r="E19" s="191">
        <v>0.08</v>
      </c>
      <c r="F19" s="188" t="s">
        <v>334</v>
      </c>
    </row>
    <row r="20" spans="1:6">
      <c r="A20" s="18" t="s">
        <v>256</v>
      </c>
      <c r="B20" s="188">
        <v>6</v>
      </c>
      <c r="C20" s="189">
        <v>1725</v>
      </c>
      <c r="D20" s="191">
        <v>0.2</v>
      </c>
      <c r="E20" s="191">
        <v>0.27500000000000002</v>
      </c>
      <c r="F20" s="188" t="s">
        <v>352</v>
      </c>
    </row>
    <row r="21" spans="1:6">
      <c r="A21" s="18" t="s">
        <v>257</v>
      </c>
      <c r="B21" s="188">
        <v>6</v>
      </c>
      <c r="C21" s="189">
        <v>2200</v>
      </c>
      <c r="D21" s="191">
        <v>0.3</v>
      </c>
      <c r="E21" s="191">
        <v>0.15</v>
      </c>
      <c r="F21" s="188" t="s">
        <v>334</v>
      </c>
    </row>
    <row r="22" spans="1:6">
      <c r="A22" s="18" t="s">
        <v>183</v>
      </c>
      <c r="B22" s="188">
        <v>6</v>
      </c>
      <c r="C22" s="189">
        <v>1430</v>
      </c>
      <c r="D22" s="191">
        <v>0.25</v>
      </c>
      <c r="E22" s="191">
        <v>0.08</v>
      </c>
      <c r="F22" s="188" t="s">
        <v>334</v>
      </c>
    </row>
    <row r="23" spans="1:6">
      <c r="A23" s="18" t="s">
        <v>277</v>
      </c>
      <c r="B23" s="188">
        <v>6</v>
      </c>
      <c r="C23" s="189">
        <v>940</v>
      </c>
      <c r="D23" s="191">
        <v>0.1</v>
      </c>
      <c r="E23" s="191">
        <v>0.05</v>
      </c>
      <c r="F23" s="188" t="s">
        <v>352</v>
      </c>
    </row>
    <row r="24" spans="1:6">
      <c r="A24" s="18" t="s">
        <v>184</v>
      </c>
      <c r="B24" s="188">
        <v>6</v>
      </c>
      <c r="C24" s="189">
        <v>1980</v>
      </c>
      <c r="D24" s="191">
        <v>0.3</v>
      </c>
      <c r="E24" s="191">
        <v>0.1</v>
      </c>
      <c r="F24" s="188" t="s">
        <v>334</v>
      </c>
    </row>
    <row r="25" spans="1:6">
      <c r="A25" s="18" t="s">
        <v>185</v>
      </c>
      <c r="B25" s="188">
        <v>1</v>
      </c>
      <c r="C25" s="189">
        <v>2500</v>
      </c>
      <c r="D25" s="159"/>
      <c r="E25" s="191"/>
      <c r="F25" s="18"/>
    </row>
    <row r="27" spans="1:6" ht="36">
      <c r="A27" s="15" t="s">
        <v>61</v>
      </c>
      <c r="B27" s="16" t="s">
        <v>63</v>
      </c>
      <c r="C27" s="17" t="s">
        <v>64</v>
      </c>
      <c r="D27" s="17" t="s">
        <v>65</v>
      </c>
      <c r="E27" s="17" t="s">
        <v>66</v>
      </c>
      <c r="F27" s="19" t="s">
        <v>67</v>
      </c>
    </row>
    <row r="28" spans="1:6">
      <c r="A28" s="18" t="s">
        <v>258</v>
      </c>
      <c r="B28" s="188">
        <v>8</v>
      </c>
      <c r="C28" s="189">
        <v>3600</v>
      </c>
      <c r="D28" s="192">
        <v>0.2</v>
      </c>
      <c r="E28" s="192">
        <v>0.2</v>
      </c>
      <c r="F28" s="188" t="s">
        <v>334</v>
      </c>
    </row>
    <row r="29" spans="1:6">
      <c r="A29" s="18" t="s">
        <v>279</v>
      </c>
      <c r="B29" s="188">
        <v>4</v>
      </c>
      <c r="C29" s="189">
        <v>4297</v>
      </c>
      <c r="D29" s="192">
        <v>0.02</v>
      </c>
      <c r="E29" s="192">
        <v>0.04</v>
      </c>
      <c r="F29" s="18"/>
    </row>
    <row r="30" spans="1:6">
      <c r="A30" s="18" t="s">
        <v>278</v>
      </c>
      <c r="B30" s="188">
        <v>4</v>
      </c>
      <c r="C30" s="189">
        <f>4*4*292</f>
        <v>4672</v>
      </c>
      <c r="D30" s="192">
        <v>0.02</v>
      </c>
      <c r="E30" s="192">
        <v>0.05</v>
      </c>
      <c r="F30" s="18"/>
    </row>
    <row r="31" spans="1:6">
      <c r="A31" s="18" t="s">
        <v>259</v>
      </c>
      <c r="B31" s="188">
        <v>4</v>
      </c>
      <c r="C31" s="189">
        <f>6*20*87</f>
        <v>10440</v>
      </c>
      <c r="D31" s="192">
        <v>0.02</v>
      </c>
      <c r="E31" s="192">
        <v>0.05</v>
      </c>
      <c r="F31" s="18"/>
    </row>
    <row r="32" spans="1:6">
      <c r="A32" s="18" t="s">
        <v>260</v>
      </c>
      <c r="B32" s="188">
        <v>4</v>
      </c>
      <c r="C32" s="189">
        <v>12355</v>
      </c>
      <c r="D32" s="192">
        <v>0.02</v>
      </c>
      <c r="E32" s="192">
        <v>0.04</v>
      </c>
      <c r="F32" s="18"/>
    </row>
    <row r="33" spans="1:6">
      <c r="A33" s="18" t="s">
        <v>186</v>
      </c>
      <c r="B33" s="188">
        <v>4</v>
      </c>
      <c r="C33" s="189">
        <f>5*28.5*54</f>
        <v>7695</v>
      </c>
      <c r="D33" s="192">
        <v>0.2</v>
      </c>
      <c r="E33" s="192">
        <v>0.05</v>
      </c>
      <c r="F33" s="18"/>
    </row>
    <row r="34" spans="1:6">
      <c r="A34" s="18" t="s">
        <v>187</v>
      </c>
      <c r="B34" s="188">
        <v>4</v>
      </c>
      <c r="C34" s="189">
        <f>6*51.4*21</f>
        <v>6476.4</v>
      </c>
      <c r="D34" s="192">
        <v>0.2</v>
      </c>
      <c r="E34" s="192">
        <v>0.05</v>
      </c>
      <c r="F34" s="159" t="s">
        <v>334</v>
      </c>
    </row>
    <row r="35" spans="1:6">
      <c r="A35" s="18" t="s">
        <v>261</v>
      </c>
      <c r="B35" s="188">
        <v>0</v>
      </c>
      <c r="C35" s="188" t="s">
        <v>318</v>
      </c>
      <c r="D35" s="189"/>
      <c r="E35" s="192"/>
      <c r="F35" s="18"/>
    </row>
  </sheetData>
  <phoneticPr fontId="9" type="noConversion"/>
  <pageMargins left="0.25" right="0.25" top="0.5" bottom="0.5" header="0.5" footer="0.5"/>
  <pageSetup scale="92" orientation="landscape"/>
  <headerFooter alignWithMargins="0"/>
  <rowBreaks count="1" manualBreakCount="1">
    <brk id="37" max="16383" man="1"/>
  </rowBreaks>
  <colBreaks count="1" manualBreakCount="1">
    <brk id="7" max="1048575" man="1"/>
  </colBreaks>
  <drawing r:id="rId1"/>
  <extLst>
    <ext xmlns:mx="http://schemas.microsoft.com/office/mac/excel/2008/main" uri="{64002731-A6B0-56B0-2670-7721B7C09600}">
      <mx:PLV Mode="0" OnePage="0" WScale="86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9"/>
  <sheetViews>
    <sheetView showGridLines="0" view="pageLayout" zoomScale="125" workbookViewId="0">
      <selection activeCell="E41" sqref="E41"/>
    </sheetView>
  </sheetViews>
  <sheetFormatPr baseColWidth="10" defaultColWidth="9.1640625" defaultRowHeight="14" x14ac:dyDescent="0"/>
  <cols>
    <col min="1" max="1" width="2.5" style="42" customWidth="1"/>
    <col min="2" max="2" width="28" style="44" customWidth="1"/>
    <col min="3" max="3" width="10.1640625" style="44" customWidth="1"/>
    <col min="4" max="4" width="20.6640625" style="42" customWidth="1"/>
    <col min="5" max="5" width="9.1640625" style="42" bestFit="1" customWidth="1"/>
    <col min="6" max="6" width="28.83203125" style="42" customWidth="1"/>
    <col min="7" max="7" width="10.5" style="42" customWidth="1"/>
    <col min="8" max="8" width="11.5" style="42" customWidth="1"/>
    <col min="9" max="9" width="9.83203125" style="42" customWidth="1"/>
    <col min="10" max="10" width="11.5" style="42" customWidth="1"/>
    <col min="11" max="11" width="15" style="42" customWidth="1"/>
    <col min="12" max="12" width="13.5" style="42" customWidth="1"/>
    <col min="13" max="13" width="9.1640625" style="42" customWidth="1"/>
    <col min="14" max="14" width="74" style="42" customWidth="1"/>
    <col min="15" max="16384" width="9.1640625" style="42"/>
  </cols>
  <sheetData>
    <row r="1" spans="1:14" s="1" customFormat="1" ht="25.5" customHeight="1"/>
    <row r="2" spans="1:14" s="1" customFormat="1" ht="18">
      <c r="A2" s="2" t="s">
        <v>68</v>
      </c>
    </row>
    <row r="3" spans="1:14" s="1" customFormat="1" ht="13">
      <c r="A3" s="117" t="s">
        <v>26</v>
      </c>
    </row>
    <row r="4" spans="1:14" s="40" customFormat="1" ht="18">
      <c r="A4" s="45" t="s">
        <v>69</v>
      </c>
      <c r="B4" s="49"/>
      <c r="C4" s="49"/>
      <c r="D4" s="50"/>
      <c r="E4" s="51"/>
      <c r="F4" s="51"/>
      <c r="G4" s="51"/>
      <c r="H4" s="51"/>
      <c r="I4" s="51"/>
      <c r="J4" s="51"/>
      <c r="K4" s="51"/>
    </row>
    <row r="5" spans="1:14">
      <c r="A5" s="116">
        <v>1</v>
      </c>
      <c r="B5" s="52" t="s">
        <v>70</v>
      </c>
      <c r="C5" s="52"/>
      <c r="D5" s="53"/>
      <c r="E5" s="54"/>
      <c r="F5" s="54"/>
      <c r="G5" s="54"/>
      <c r="H5" s="54"/>
      <c r="I5" s="54"/>
      <c r="J5" s="54"/>
      <c r="K5" s="54"/>
    </row>
    <row r="6" spans="1:14">
      <c r="A6" s="116">
        <v>2</v>
      </c>
      <c r="B6" s="52" t="s">
        <v>71</v>
      </c>
      <c r="C6" s="52"/>
      <c r="D6" s="53"/>
      <c r="E6" s="54"/>
      <c r="F6" s="54"/>
      <c r="G6" s="54"/>
      <c r="H6" s="54"/>
      <c r="I6" s="54"/>
      <c r="J6" s="54"/>
      <c r="K6" s="54"/>
    </row>
    <row r="7" spans="1:14">
      <c r="A7" s="116">
        <v>3</v>
      </c>
      <c r="B7" s="52" t="s">
        <v>72</v>
      </c>
      <c r="C7" s="52"/>
      <c r="D7" s="53"/>
      <c r="E7" s="54"/>
      <c r="F7" s="54"/>
      <c r="G7" s="54"/>
      <c r="H7" s="54"/>
      <c r="I7" s="54"/>
      <c r="J7" s="54"/>
      <c r="K7" s="54"/>
    </row>
    <row r="8" spans="1:14">
      <c r="A8" s="116">
        <v>4</v>
      </c>
      <c r="B8" s="52" t="s">
        <v>73</v>
      </c>
      <c r="C8" s="52"/>
      <c r="D8" s="53"/>
      <c r="E8" s="54"/>
      <c r="F8" s="54"/>
      <c r="G8" s="54"/>
      <c r="H8" s="54"/>
      <c r="I8" s="54"/>
      <c r="J8" s="221"/>
      <c r="K8" s="54"/>
    </row>
    <row r="9" spans="1:14">
      <c r="A9" s="116">
        <v>5</v>
      </c>
      <c r="B9" s="52" t="s">
        <v>74</v>
      </c>
      <c r="C9" s="52"/>
      <c r="D9" s="53"/>
      <c r="E9" s="54"/>
      <c r="F9" s="54"/>
      <c r="G9" s="54"/>
      <c r="H9" s="54"/>
      <c r="I9" s="54"/>
      <c r="J9" s="54"/>
      <c r="K9" s="54"/>
      <c r="M9" s="220"/>
    </row>
    <row r="10" spans="1:14" ht="15" thickBot="1">
      <c r="A10" s="41"/>
      <c r="B10" s="43"/>
      <c r="C10" s="43"/>
      <c r="D10" s="43"/>
      <c r="E10" s="43"/>
      <c r="I10" s="43"/>
      <c r="J10" s="224"/>
      <c r="K10" s="224"/>
      <c r="L10" s="222"/>
    </row>
    <row r="11" spans="1:14" s="59" customFormat="1">
      <c r="A11" s="240" t="s">
        <v>75</v>
      </c>
      <c r="B11" s="241"/>
      <c r="C11" s="55" t="s">
        <v>76</v>
      </c>
      <c r="D11" s="152" t="s">
        <v>77</v>
      </c>
      <c r="E11" s="151" t="s">
        <v>78</v>
      </c>
      <c r="F11" s="57" t="s">
        <v>79</v>
      </c>
      <c r="G11" s="146" t="s">
        <v>80</v>
      </c>
      <c r="H11" s="58" t="s">
        <v>81</v>
      </c>
      <c r="I11" s="238" t="s">
        <v>82</v>
      </c>
      <c r="J11" s="242"/>
      <c r="K11" s="146" t="s">
        <v>83</v>
      </c>
      <c r="L11" s="56" t="s">
        <v>84</v>
      </c>
      <c r="M11" s="238" t="s">
        <v>85</v>
      </c>
      <c r="N11" s="239"/>
    </row>
    <row r="12" spans="1:14" s="59" customFormat="1" ht="18" customHeight="1" thickBot="1">
      <c r="A12" s="60" t="s">
        <v>86</v>
      </c>
      <c r="B12" s="61"/>
      <c r="C12" s="62" t="s">
        <v>87</v>
      </c>
      <c r="D12" s="153" t="s">
        <v>88</v>
      </c>
      <c r="E12" s="65"/>
      <c r="F12" s="64" t="s">
        <v>89</v>
      </c>
      <c r="G12" s="65" t="s">
        <v>90</v>
      </c>
      <c r="H12" s="66" t="s">
        <v>91</v>
      </c>
      <c r="I12" s="65" t="s">
        <v>92</v>
      </c>
      <c r="J12" s="67" t="s">
        <v>93</v>
      </c>
      <c r="K12" s="65" t="s">
        <v>94</v>
      </c>
      <c r="L12" s="63" t="s">
        <v>93</v>
      </c>
      <c r="M12" s="65" t="s">
        <v>95</v>
      </c>
      <c r="N12" s="68" t="s">
        <v>96</v>
      </c>
    </row>
    <row r="13" spans="1:14" s="81" customFormat="1" ht="33" customHeight="1">
      <c r="A13" s="69"/>
      <c r="B13" s="70" t="s">
        <v>154</v>
      </c>
      <c r="C13" s="71">
        <v>123332</v>
      </c>
      <c r="D13" s="154" t="s">
        <v>214</v>
      </c>
      <c r="E13" s="72" t="s">
        <v>97</v>
      </c>
      <c r="F13" s="73" t="s">
        <v>320</v>
      </c>
      <c r="G13" s="76">
        <f>(24725-K13)/12</f>
        <v>1985.4166666666667</v>
      </c>
      <c r="H13" s="217">
        <v>0.45</v>
      </c>
      <c r="I13" s="253">
        <v>10</v>
      </c>
      <c r="J13" s="218">
        <f>G13*(1-H13)*85%</f>
        <v>928.18229166666674</v>
      </c>
      <c r="K13" s="74">
        <v>900</v>
      </c>
      <c r="L13" s="77">
        <f>J13+K13</f>
        <v>1828.1822916666667</v>
      </c>
      <c r="M13" s="219">
        <v>0.1</v>
      </c>
      <c r="N13" s="80" t="s">
        <v>338</v>
      </c>
    </row>
    <row r="14" spans="1:14" s="92" customFormat="1">
      <c r="A14" s="82"/>
      <c r="B14" s="83"/>
      <c r="C14" s="84"/>
      <c r="D14" s="155"/>
      <c r="E14" s="85"/>
      <c r="F14" s="85"/>
      <c r="G14" s="86"/>
      <c r="H14" s="87"/>
      <c r="I14" s="256"/>
      <c r="J14" s="88"/>
      <c r="K14" s="86"/>
      <c r="L14" s="89"/>
      <c r="M14" s="90"/>
      <c r="N14" s="91"/>
    </row>
    <row r="15" spans="1:14" s="81" customFormat="1" ht="33" customHeight="1">
      <c r="A15" s="69"/>
      <c r="B15" s="70" t="s">
        <v>155</v>
      </c>
      <c r="C15" s="71">
        <v>56100</v>
      </c>
      <c r="D15" s="156" t="s">
        <v>213</v>
      </c>
      <c r="E15" s="72" t="s">
        <v>97</v>
      </c>
      <c r="F15" s="73" t="s">
        <v>323</v>
      </c>
      <c r="G15" s="74">
        <v>290</v>
      </c>
      <c r="H15" s="217">
        <v>0.35</v>
      </c>
      <c r="I15" s="253">
        <v>25</v>
      </c>
      <c r="J15" s="218">
        <f>G15*(1-H15)-K15</f>
        <v>118.5</v>
      </c>
      <c r="K15" s="74">
        <v>70</v>
      </c>
      <c r="L15" s="77">
        <f>J15+K15</f>
        <v>188.5</v>
      </c>
      <c r="M15" s="219">
        <v>0.25</v>
      </c>
      <c r="N15" s="80" t="s">
        <v>339</v>
      </c>
    </row>
    <row r="16" spans="1:14" s="92" customFormat="1">
      <c r="A16" s="82"/>
      <c r="B16" s="83"/>
      <c r="C16" s="84"/>
      <c r="D16" s="155"/>
      <c r="E16" s="85"/>
      <c r="F16" s="85"/>
      <c r="G16" s="86"/>
      <c r="H16" s="87"/>
      <c r="I16" s="254"/>
      <c r="J16" s="88"/>
      <c r="K16" s="86"/>
      <c r="L16" s="87"/>
      <c r="M16" s="90"/>
      <c r="N16" s="91"/>
    </row>
    <row r="17" spans="1:14" s="81" customFormat="1" ht="35.25" customHeight="1">
      <c r="A17" s="69"/>
      <c r="B17" s="70" t="s">
        <v>157</v>
      </c>
      <c r="C17" s="148">
        <v>18638</v>
      </c>
      <c r="D17" s="156" t="s">
        <v>217</v>
      </c>
      <c r="E17" s="72" t="s">
        <v>97</v>
      </c>
      <c r="F17" s="73" t="s">
        <v>320</v>
      </c>
      <c r="G17" s="76">
        <v>2280</v>
      </c>
      <c r="H17" s="217">
        <v>0.25</v>
      </c>
      <c r="I17" s="253">
        <v>3000</v>
      </c>
      <c r="J17" s="76">
        <f>+G17*(1-H17)*0.85</f>
        <v>1453.5</v>
      </c>
      <c r="K17" s="96">
        <v>0</v>
      </c>
      <c r="L17" s="77">
        <f>J17+K17</f>
        <v>1453.5</v>
      </c>
      <c r="M17" s="223">
        <v>0.2</v>
      </c>
      <c r="N17" s="80" t="s">
        <v>340</v>
      </c>
    </row>
    <row r="18" spans="1:14" s="104" customFormat="1" ht="27" customHeight="1">
      <c r="A18" s="97"/>
      <c r="B18" s="149"/>
      <c r="C18" s="150"/>
      <c r="D18" s="157"/>
      <c r="E18" s="72"/>
      <c r="F18" s="98"/>
      <c r="G18" s="76"/>
      <c r="H18" s="100"/>
      <c r="I18" s="255"/>
      <c r="J18" s="76"/>
      <c r="K18" s="99"/>
      <c r="L18" s="100"/>
      <c r="M18" s="102"/>
      <c r="N18" s="103"/>
    </row>
    <row r="19" spans="1:14" s="81" customFormat="1" ht="27" customHeight="1">
      <c r="A19" s="69"/>
      <c r="B19" s="70" t="s">
        <v>156</v>
      </c>
      <c r="C19" s="148">
        <v>40000</v>
      </c>
      <c r="D19" s="156" t="s">
        <v>212</v>
      </c>
      <c r="E19" s="72" t="s">
        <v>97</v>
      </c>
      <c r="F19" s="73" t="s">
        <v>321</v>
      </c>
      <c r="G19" s="76">
        <v>350</v>
      </c>
      <c r="H19" s="217">
        <v>0.28000000000000003</v>
      </c>
      <c r="I19" s="253">
        <v>15</v>
      </c>
      <c r="J19" s="76">
        <f>+G19*(1-H19)*0.85-70</f>
        <v>144.19999999999999</v>
      </c>
      <c r="K19" s="74">
        <v>70</v>
      </c>
      <c r="L19" s="77">
        <f>J19+K19</f>
        <v>214.2</v>
      </c>
      <c r="M19" s="219">
        <v>0.2</v>
      </c>
      <c r="N19" s="80" t="s">
        <v>341</v>
      </c>
    </row>
    <row r="20" spans="1:14" s="104" customFormat="1" ht="27" customHeight="1">
      <c r="A20" s="97"/>
      <c r="B20" s="149"/>
      <c r="C20" s="150"/>
      <c r="D20" s="157"/>
      <c r="E20" s="98"/>
      <c r="F20" s="98"/>
      <c r="G20" s="76"/>
      <c r="H20" s="100"/>
      <c r="I20" s="255"/>
      <c r="J20" s="76"/>
      <c r="K20" s="99"/>
      <c r="L20" s="100"/>
      <c r="M20" s="102"/>
      <c r="N20" s="103"/>
    </row>
    <row r="21" spans="1:14" s="81" customFormat="1" ht="38.25" customHeight="1">
      <c r="A21" s="69"/>
      <c r="B21" s="70" t="s">
        <v>216</v>
      </c>
      <c r="C21" s="148">
        <v>14025</v>
      </c>
      <c r="D21" s="156" t="s">
        <v>218</v>
      </c>
      <c r="E21" s="72" t="s">
        <v>97</v>
      </c>
      <c r="F21" s="73" t="s">
        <v>320</v>
      </c>
      <c r="G21" s="76">
        <v>3000</v>
      </c>
      <c r="H21" s="217">
        <v>0.5</v>
      </c>
      <c r="I21" s="253">
        <v>100</v>
      </c>
      <c r="J21" s="76">
        <f>+G21*(1-H21)*0.85</f>
        <v>1275</v>
      </c>
      <c r="K21" s="74">
        <v>0</v>
      </c>
      <c r="L21" s="77">
        <f>J21+K21</f>
        <v>1275</v>
      </c>
      <c r="M21" s="219">
        <v>0.2</v>
      </c>
      <c r="N21" s="80" t="s">
        <v>342</v>
      </c>
    </row>
    <row r="22" spans="1:14" s="104" customFormat="1" ht="27" customHeight="1">
      <c r="A22" s="97"/>
      <c r="B22" s="149"/>
      <c r="C22" s="150"/>
      <c r="D22" s="157"/>
      <c r="E22" s="98"/>
      <c r="F22" s="98"/>
      <c r="G22" s="101"/>
      <c r="H22" s="100"/>
      <c r="I22" s="255"/>
      <c r="J22" s="101"/>
      <c r="K22" s="99"/>
      <c r="L22" s="100"/>
      <c r="M22" s="102"/>
      <c r="N22" s="103"/>
    </row>
    <row r="23" spans="1:14" s="81" customFormat="1" ht="53" customHeight="1">
      <c r="A23" s="69"/>
      <c r="B23" s="70" t="s">
        <v>158</v>
      </c>
      <c r="C23" s="148">
        <v>623917</v>
      </c>
      <c r="D23" s="156" t="s">
        <v>211</v>
      </c>
      <c r="E23" s="72" t="s">
        <v>97</v>
      </c>
      <c r="F23" s="73" t="s">
        <v>343</v>
      </c>
      <c r="G23" s="76">
        <v>11673</v>
      </c>
      <c r="H23" s="217">
        <v>0.47</v>
      </c>
      <c r="I23" s="253">
        <v>130</v>
      </c>
      <c r="J23" s="76">
        <f>+G23*(1-H23)*0.85</f>
        <v>5258.6865000000007</v>
      </c>
      <c r="K23" s="74">
        <v>500</v>
      </c>
      <c r="L23" s="77">
        <f>J23+K23</f>
        <v>5758.6865000000007</v>
      </c>
      <c r="M23" s="219">
        <v>0.21</v>
      </c>
      <c r="N23" s="225" t="s">
        <v>344</v>
      </c>
    </row>
    <row r="24" spans="1:14" s="104" customFormat="1" ht="27" customHeight="1">
      <c r="A24" s="97"/>
      <c r="B24" s="149"/>
      <c r="C24" s="150"/>
      <c r="D24" s="157"/>
      <c r="E24" s="98"/>
      <c r="F24" s="98"/>
      <c r="G24" s="101"/>
      <c r="H24" s="100"/>
      <c r="I24" s="255"/>
      <c r="J24" s="101"/>
      <c r="K24" s="99"/>
      <c r="L24" s="100"/>
      <c r="M24" s="102"/>
      <c r="N24" s="103"/>
    </row>
    <row r="25" spans="1:14" s="81" customFormat="1" ht="27" customHeight="1">
      <c r="A25" s="69"/>
      <c r="B25" s="70" t="s">
        <v>159</v>
      </c>
      <c r="C25" s="148">
        <v>138720</v>
      </c>
      <c r="D25" s="156" t="s">
        <v>215</v>
      </c>
      <c r="E25" s="72" t="s">
        <v>97</v>
      </c>
      <c r="F25" s="73" t="s">
        <v>322</v>
      </c>
      <c r="G25" s="76">
        <v>1200</v>
      </c>
      <c r="H25" s="217">
        <v>0.35</v>
      </c>
      <c r="I25" s="253">
        <v>17</v>
      </c>
      <c r="J25" s="76">
        <f>+G25*(1-H25)*0.85</f>
        <v>663</v>
      </c>
      <c r="K25" s="74">
        <v>75</v>
      </c>
      <c r="L25" s="77">
        <f>J25+K25</f>
        <v>738</v>
      </c>
      <c r="M25" s="219">
        <v>0.1</v>
      </c>
      <c r="N25" s="80" t="s">
        <v>345</v>
      </c>
    </row>
    <row r="26" spans="1:14" s="104" customFormat="1" ht="27" customHeight="1">
      <c r="A26" s="97"/>
      <c r="B26" s="149"/>
      <c r="C26" s="150"/>
      <c r="D26" s="157"/>
      <c r="E26" s="98"/>
      <c r="F26" s="98"/>
      <c r="G26" s="99"/>
      <c r="H26" s="100"/>
      <c r="I26" s="255"/>
      <c r="J26" s="101"/>
      <c r="K26" s="99"/>
      <c r="L26" s="100"/>
      <c r="M26" s="102"/>
      <c r="N26" s="103"/>
    </row>
    <row r="27" spans="1:14" s="81" customFormat="1" ht="27" customHeight="1">
      <c r="A27" s="69"/>
      <c r="B27" s="105"/>
      <c r="C27" s="93"/>
      <c r="D27" s="95"/>
      <c r="E27" s="73"/>
      <c r="F27" s="73"/>
      <c r="G27" s="74"/>
      <c r="H27" s="75"/>
      <c r="I27" s="94"/>
      <c r="J27" s="79"/>
      <c r="K27" s="74"/>
      <c r="L27" s="77">
        <f>J27+K27</f>
        <v>0</v>
      </c>
      <c r="M27" s="78"/>
      <c r="N27" s="80"/>
    </row>
    <row r="28" spans="1:14" s="115" customFormat="1" ht="15" thickBot="1">
      <c r="A28" s="106"/>
      <c r="B28" s="107"/>
      <c r="C28" s="108"/>
      <c r="D28" s="109"/>
      <c r="E28" s="110"/>
      <c r="F28" s="110"/>
      <c r="G28" s="111"/>
      <c r="H28" s="109"/>
      <c r="I28" s="112"/>
      <c r="J28" s="110"/>
      <c r="K28" s="111"/>
      <c r="L28" s="109"/>
      <c r="M28" s="113"/>
      <c r="N28" s="114"/>
    </row>
    <row r="29" spans="1:14">
      <c r="L29" s="222"/>
    </row>
  </sheetData>
  <mergeCells count="3">
    <mergeCell ref="M11:N11"/>
    <mergeCell ref="A11:B11"/>
    <mergeCell ref="I11:J11"/>
  </mergeCells>
  <phoneticPr fontId="9" type="noConversion"/>
  <pageMargins left="0.2" right="0.2" top="0.5" bottom="0.5" header="0.3" footer="0.3"/>
  <pageSetup paperSize="9" scale="51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B4DFD74B4EE64FAAD9018EEA672F60" ma:contentTypeVersion="2" ma:contentTypeDescription="Create a new document." ma:contentTypeScope="" ma:versionID="33b217983d6e2234a2642d0250e1df7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c96ba11fc0b0f11135d6dc28d8a2ff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0D565F-F0BB-47F1-AD87-4FD33BD88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8C4045-3682-47FE-81A9-460590214F68}">
  <ds:schemaRefs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607DA6A-5429-4B7A-9871-FE0DA69AE0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 Part I -- TV - Primetime</vt:lpstr>
      <vt:lpstr> Part I -- TV - Fringe</vt:lpstr>
      <vt:lpstr>Part 1 -- TV Late Night </vt:lpstr>
      <vt:lpstr>Part 1 -- TV Daytime </vt:lpstr>
      <vt:lpstr> Part I -- TV - Cable &amp; Sat</vt:lpstr>
      <vt:lpstr>Radio Drive Time</vt:lpstr>
      <vt:lpstr>Part I -- Print</vt:lpstr>
      <vt:lpstr>Part I - Outdoor</vt:lpstr>
      <vt:lpstr>Part I - Online</vt:lpstr>
      <vt:lpstr> Part II -- TV 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Madden Armstrong</dc:creator>
  <cp:lastModifiedBy>Jose Chiriboga</cp:lastModifiedBy>
  <cp:lastPrinted>2014-10-27T20:51:27Z</cp:lastPrinted>
  <dcterms:created xsi:type="dcterms:W3CDTF">2003-09-16T15:23:58Z</dcterms:created>
  <dcterms:modified xsi:type="dcterms:W3CDTF">2014-10-27T20:53:00Z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GUID">
    <vt:lpwstr>93346fae-5aae-4314-b5c7-f97be01e70b4</vt:lpwstr>
  </property>
  <property fmtid="{D5CDD505-2E9C-101B-9397-08002B2CF9AE}" pid="3" name="MODFILEGUID">
    <vt:lpwstr>0a94f2f7-89e3-4ca5-95d0-b60ab2ba6539</vt:lpwstr>
  </property>
  <property fmtid="{D5CDD505-2E9C-101B-9397-08002B2CF9AE}" pid="4" name="FILEOWNER">
    <vt:lpwstr>n29352</vt:lpwstr>
  </property>
  <property fmtid="{D5CDD505-2E9C-101B-9397-08002B2CF9AE}" pid="5" name="MODFILEOWNER">
    <vt:lpwstr>A84670</vt:lpwstr>
  </property>
  <property fmtid="{D5CDD505-2E9C-101B-9397-08002B2CF9AE}" pid="6" name="IPPCLASS">
    <vt:i4>1</vt:i4>
  </property>
  <property fmtid="{D5CDD505-2E9C-101B-9397-08002B2CF9AE}" pid="7" name="MODIPPCLASS">
    <vt:i4>1</vt:i4>
  </property>
  <property fmtid="{D5CDD505-2E9C-101B-9397-08002B2CF9AE}" pid="8" name="MACHINEID">
    <vt:lpwstr>N29352-NZ01</vt:lpwstr>
  </property>
  <property fmtid="{D5CDD505-2E9C-101B-9397-08002B2CF9AE}" pid="9" name="MODMACHINEID">
    <vt:lpwstr>A84670-0001</vt:lpwstr>
  </property>
  <property fmtid="{D5CDD505-2E9C-101B-9397-08002B2CF9AE}" pid="10" name="CURRENTCLASS">
    <vt:lpwstr>Classified - Internal use</vt:lpwstr>
  </property>
  <property fmtid="{D5CDD505-2E9C-101B-9397-08002B2CF9AE}" pid="11" name="ContentTypeId">
    <vt:lpwstr>0x010100CDB4DFD74B4EE64FAAD9018EEA672F60</vt:lpwstr>
  </property>
  <property fmtid="{D5CDD505-2E9C-101B-9397-08002B2CF9AE}" pid="12" name="xd_ProgID">
    <vt:lpwstr/>
  </property>
  <property fmtid="{D5CDD505-2E9C-101B-9397-08002B2CF9AE}" pid="13" name="TemplateUrl">
    <vt:lpwstr/>
  </property>
</Properties>
</file>