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44B57F-E382-4D10-B89B-CEC338002F5A}" xr6:coauthVersionLast="41" xr6:coauthVersionMax="41" xr10:uidLastSave="{00000000-0000-0000-0000-000000000000}"/>
  <bookViews>
    <workbookView xWindow="-120" yWindow="-120" windowWidth="1941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I9" i="1"/>
  <c r="J9" i="1"/>
  <c r="K9" i="1"/>
  <c r="K10" i="1"/>
  <c r="J10" i="1"/>
  <c r="I10" i="1"/>
  <c r="Q10" i="1" s="1"/>
  <c r="H10" i="1"/>
  <c r="R10" i="1" s="1"/>
  <c r="H22" i="1" l="1"/>
  <c r="H20" i="1"/>
  <c r="N10" i="1" s="1"/>
  <c r="P10" i="1" s="1"/>
  <c r="J14" i="1"/>
  <c r="J11" i="1"/>
  <c r="J8" i="1"/>
  <c r="I14" i="1"/>
  <c r="Q14" i="1" s="1"/>
  <c r="I11" i="1"/>
  <c r="Q9" i="1"/>
  <c r="I8" i="1"/>
  <c r="H14" i="1"/>
  <c r="R14" i="1" s="1"/>
  <c r="H11" i="1"/>
  <c r="R11" i="1" s="1"/>
  <c r="H8" i="1"/>
  <c r="L14" i="1"/>
  <c r="K14" i="1"/>
  <c r="K11" i="1"/>
  <c r="L8" i="1"/>
  <c r="L9" i="1" s="1"/>
  <c r="L10" i="1" s="1"/>
  <c r="K8" i="1"/>
  <c r="N14" i="1" l="1"/>
  <c r="P14" i="1" s="1"/>
  <c r="P16" i="1"/>
  <c r="P15" i="1"/>
  <c r="P9" i="1"/>
  <c r="Q8" i="1"/>
  <c r="N8" i="1" s="1"/>
  <c r="Q11" i="1"/>
  <c r="P12" i="1" s="1"/>
  <c r="L11" i="1"/>
  <c r="N11" i="1" l="1"/>
  <c r="P11" i="1" s="1"/>
  <c r="P13" i="1"/>
</calcChain>
</file>

<file path=xl/sharedStrings.xml><?xml version="1.0" encoding="utf-8"?>
<sst xmlns="http://schemas.openxmlformats.org/spreadsheetml/2006/main" count="44" uniqueCount="34">
  <si>
    <t>Section</t>
  </si>
  <si>
    <t>Well
ID’’</t>
  </si>
  <si>
    <t>Drill string
(OD’’)</t>
  </si>
  <si>
    <t>Drill string
(ID’’)</t>
  </si>
  <si>
    <t xml:space="preserve">E-modulus
N/m2 </t>
  </si>
  <si>
    <t>Weight per 
unit length, N/m 
(Mass x 9.81)</t>
  </si>
  <si>
    <t>Moment of
Intertia (I),
(m^4)</t>
  </si>
  <si>
    <t>Radial Clearance
r (m)</t>
  </si>
  <si>
    <t>Sinusoidal (N)</t>
  </si>
  <si>
    <t>Helical (N)</t>
  </si>
  <si>
    <t>Vertical</t>
  </si>
  <si>
    <t>Lubiniski</t>
  </si>
  <si>
    <t>Wu et al</t>
  </si>
  <si>
    <t>Bend</t>
  </si>
  <si>
    <t>Sail DP</t>
  </si>
  <si>
    <t>Dawson- 
Pasley (DP)</t>
  </si>
  <si>
    <t>Chen et al</t>
  </si>
  <si>
    <t>Miska et al</t>
  </si>
  <si>
    <t>Sail BHA</t>
  </si>
  <si>
    <t>Oil Well Buckling Load Design in Different Well Geometry</t>
  </si>
  <si>
    <t>Sarmad Riaz 248046</t>
  </si>
  <si>
    <t xml:space="preserve"> BUCKING LOAD (N)</t>
  </si>
  <si>
    <t>Well Geometry Parameters</t>
  </si>
  <si>
    <t>Radius of Build up,
 R (m)</t>
  </si>
  <si>
    <t>k=1/R (m^-1)</t>
  </si>
  <si>
    <t>Inclination, 𝝰 (deg)</t>
  </si>
  <si>
    <t>Inclination, 𝝰 (rad)</t>
  </si>
  <si>
    <t>_</t>
  </si>
  <si>
    <t>Mitchell</t>
  </si>
  <si>
    <t>Wu &amp; Juvkam</t>
  </si>
  <si>
    <t>Depth</t>
  </si>
  <si>
    <t>Sinusoidal Buckling Loads (N)</t>
  </si>
  <si>
    <t>Helical Buckling Loads (N)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</si>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</sst>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4">
    <xf numFmtId="0" fontId="0" fillId="0" borderId="0" xfId="0"/>
    <xf numFmtId="0" fontId="0" fillId="11" borderId="10" xfId="0" applyFill="1" applyBorder="1" applyAlignment="1">
      <alignment horizontal="center" vertical="center"/>
    </xf>
    <xf numFmtId="0" fontId="1" fillId="7" borderId="9" xfId="1" applyFill="1" applyBorder="1" applyAlignment="1">
      <alignment horizontal="center" vertical="center" wrapText="1"/>
    </xf>
    <xf numFmtId="3" fontId="1" fillId="5" borderId="10" xfId="3" applyNumberFormat="1" applyFill="1" applyBorder="1" applyAlignment="1">
      <alignment horizontal="center" vertical="center"/>
    </xf>
    <xf numFmtId="3" fontId="1" fillId="5" borderId="13" xfId="3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/>
    </xf>
    <xf numFmtId="3" fontId="0" fillId="5" borderId="10" xfId="3" applyNumberFormat="1" applyFont="1" applyFill="1" applyBorder="1" applyAlignment="1">
      <alignment horizontal="center" vertical="center"/>
    </xf>
    <xf numFmtId="0" fontId="1" fillId="7" borderId="10" xfId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/>
    </xf>
    <xf numFmtId="0" fontId="1" fillId="13" borderId="18" xfId="1" applyFill="1" applyBorder="1" applyAlignment="1">
      <alignment horizontal="center" vertical="center"/>
    </xf>
    <xf numFmtId="0" fontId="0" fillId="13" borderId="18" xfId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13" borderId="18" xfId="1" applyFont="1" applyFill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0" fontId="0" fillId="6" borderId="7" xfId="1" applyFont="1" applyFill="1" applyBorder="1" applyAlignment="1">
      <alignment horizontal="center" vertical="center" wrapText="1"/>
    </xf>
    <xf numFmtId="0" fontId="1" fillId="6" borderId="10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 wrapText="1"/>
    </xf>
    <xf numFmtId="0" fontId="1" fillId="6" borderId="10" xfId="1" applyFill="1" applyBorder="1" applyAlignment="1">
      <alignment horizontal="center" vertical="center" wrapText="1"/>
    </xf>
    <xf numFmtId="0" fontId="1" fillId="7" borderId="21" xfId="1" applyFill="1" applyBorder="1" applyAlignment="1">
      <alignment horizontal="center" vertical="center" wrapText="1"/>
    </xf>
    <xf numFmtId="0" fontId="1" fillId="7" borderId="22" xfId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3" fontId="1" fillId="5" borderId="10" xfId="3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1" fillId="7" borderId="9" xfId="1" applyFill="1" applyBorder="1" applyAlignment="1">
      <alignment horizontal="center" vertical="center" wrapText="1"/>
    </xf>
    <xf numFmtId="0" fontId="1" fillId="7" borderId="12" xfId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3" fontId="1" fillId="5" borderId="13" xfId="3" applyNumberForma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6" borderId="8" xfId="1" applyFill="1" applyBorder="1" applyAlignment="1">
      <alignment horizontal="center" vertical="center" wrapText="1"/>
    </xf>
    <xf numFmtId="0" fontId="1" fillId="6" borderId="11" xfId="1" applyFill="1" applyBorder="1" applyAlignment="1">
      <alignment horizontal="center" vertical="center" wrapText="1"/>
    </xf>
    <xf numFmtId="0" fontId="0" fillId="14" borderId="10" xfId="1" applyFont="1" applyFill="1" applyBorder="1" applyAlignment="1">
      <alignment horizontal="center" vertical="center"/>
    </xf>
    <xf numFmtId="0" fontId="1" fillId="14" borderId="10" xfId="1" applyFill="1" applyBorder="1" applyAlignment="1">
      <alignment horizontal="center" vertical="center"/>
    </xf>
    <xf numFmtId="0" fontId="0" fillId="15" borderId="10" xfId="1" applyFont="1" applyFill="1" applyBorder="1" applyAlignment="1">
      <alignment horizontal="center" vertical="center"/>
    </xf>
    <xf numFmtId="0" fontId="1" fillId="15" borderId="10" xfId="1" applyFill="1" applyBorder="1" applyAlignment="1">
      <alignment horizontal="center" vertical="center"/>
    </xf>
    <xf numFmtId="0" fontId="3" fillId="10" borderId="1" xfId="2" applyFont="1" applyFill="1" applyBorder="1" applyAlignment="1">
      <alignment horizontal="center" wrapText="1"/>
    </xf>
    <xf numFmtId="0" fontId="4" fillId="10" borderId="2" xfId="2" applyFont="1" applyFill="1" applyBorder="1" applyAlignment="1">
      <alignment horizontal="center"/>
    </xf>
    <xf numFmtId="0" fontId="4" fillId="10" borderId="0" xfId="2" applyFont="1" applyFill="1" applyAlignment="1">
      <alignment horizontal="center"/>
    </xf>
    <xf numFmtId="0" fontId="4" fillId="10" borderId="3" xfId="2" applyFont="1" applyFill="1" applyBorder="1" applyAlignment="1">
      <alignment horizontal="center"/>
    </xf>
    <xf numFmtId="0" fontId="4" fillId="10" borderId="4" xfId="2" applyFont="1" applyFill="1" applyBorder="1" applyAlignment="1">
      <alignment horizontal="center"/>
    </xf>
    <xf numFmtId="0" fontId="4" fillId="10" borderId="5" xfId="2" applyFont="1" applyFill="1" applyBorder="1" applyAlignment="1">
      <alignment horizontal="center"/>
    </xf>
    <xf numFmtId="0" fontId="1" fillId="6" borderId="6" xfId="1" applyFill="1" applyBorder="1" applyAlignment="1">
      <alignment horizontal="center" vertical="center" wrapText="1"/>
    </xf>
    <xf numFmtId="0" fontId="1" fillId="6" borderId="9" xfId="1" applyFill="1" applyBorder="1" applyAlignment="1">
      <alignment horizontal="center" vertical="center" wrapText="1"/>
    </xf>
  </cellXfs>
  <cellStyles count="4">
    <cellStyle name="20% - Accent4" xfId="1" builtinId="42"/>
    <cellStyle name="20% - Accent6" xfId="3" builtinId="50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Sinusoidal</a:t>
            </a:r>
            <a:r>
              <a:rPr lang="en-US" b="1" baseline="0"/>
              <a:t> Buckling Load</a:t>
            </a:r>
            <a:endParaRPr lang="en-US" b="1"/>
          </a:p>
        </c:rich>
      </c:tx>
      <c:layout>
        <c:manualLayout>
          <c:xMode val="edge"/>
          <c:yMode val="edge"/>
          <c:x val="0.3567152230971129"/>
          <c:y val="0.89351868947416035"/>
        </c:manualLayout>
      </c:layout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Sheet2!$E$3:$E$14</c:f>
              <c:numCache>
                <c:formatCode>0</c:formatCode>
                <c:ptCount val="12"/>
                <c:pt idx="0">
                  <c:v>11297</c:v>
                </c:pt>
                <c:pt idx="1">
                  <c:v>11297</c:v>
                </c:pt>
                <c:pt idx="2">
                  <c:v>11297</c:v>
                </c:pt>
                <c:pt idx="3">
                  <c:v>327830</c:v>
                </c:pt>
                <c:pt idx="4">
                  <c:v>327830</c:v>
                </c:pt>
                <c:pt idx="5">
                  <c:v>327830</c:v>
                </c:pt>
                <c:pt idx="6">
                  <c:v>191781</c:v>
                </c:pt>
                <c:pt idx="7">
                  <c:v>191781</c:v>
                </c:pt>
                <c:pt idx="8">
                  <c:v>191781</c:v>
                </c:pt>
                <c:pt idx="9">
                  <c:v>796922</c:v>
                </c:pt>
                <c:pt idx="10">
                  <c:v>796922</c:v>
                </c:pt>
                <c:pt idx="11">
                  <c:v>796922</c:v>
                </c:pt>
              </c:numCache>
            </c:numRef>
          </c:xVal>
          <c:yVal>
            <c:numRef>
              <c:f>Sheet2!$D$3:$D$14</c:f>
              <c:numCache>
                <c:formatCode>General</c:formatCode>
                <c:ptCount val="12"/>
                <c:pt idx="0">
                  <c:v>0</c:v>
                </c:pt>
                <c:pt idx="1">
                  <c:v>-500</c:v>
                </c:pt>
                <c:pt idx="2">
                  <c:v>-500</c:v>
                </c:pt>
                <c:pt idx="3">
                  <c:v>-1000</c:v>
                </c:pt>
                <c:pt idx="4">
                  <c:v>-1000</c:v>
                </c:pt>
                <c:pt idx="5">
                  <c:v>-1500</c:v>
                </c:pt>
                <c:pt idx="6">
                  <c:v>-1500</c:v>
                </c:pt>
                <c:pt idx="7">
                  <c:v>-2000</c:v>
                </c:pt>
                <c:pt idx="8">
                  <c:v>-2000</c:v>
                </c:pt>
                <c:pt idx="9">
                  <c:v>-2500</c:v>
                </c:pt>
                <c:pt idx="10">
                  <c:v>-2500</c:v>
                </c:pt>
                <c:pt idx="11">
                  <c:v>-3000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4-4D03-86E6-957E0264D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14936"/>
        <c:axId val="429515920"/>
      </c:scatterChart>
      <c:valAx>
        <c:axId val="42951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Buckling</a:t>
                </a:r>
                <a:r>
                  <a:rPr lang="en-US" b="1" baseline="0"/>
                  <a:t> Load(N</a:t>
                </a:r>
                <a:r>
                  <a:rPr lang="en-US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43611001749781275"/>
              <c:y val="3.1873291700606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15920"/>
        <c:crosses val="autoZero"/>
        <c:crossBetween val="midCat"/>
      </c:valAx>
      <c:valAx>
        <c:axId val="4295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Depth(m)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1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Helical Buckling</a:t>
            </a:r>
            <a:r>
              <a:rPr lang="en-US" b="1" baseline="0"/>
              <a:t> Load</a:t>
            </a:r>
            <a:endParaRPr lang="en-US" b="1"/>
          </a:p>
        </c:rich>
      </c:tx>
      <c:layout>
        <c:manualLayout>
          <c:xMode val="edge"/>
          <c:yMode val="edge"/>
          <c:x val="0.35949300087489067"/>
          <c:y val="0.90114942528735631"/>
        </c:manualLayout>
      </c:layout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Sheet3!$E$4:$E$15</c:f>
              <c:numCache>
                <c:formatCode>0</c:formatCode>
                <c:ptCount val="12"/>
                <c:pt idx="0">
                  <c:v>32319</c:v>
                </c:pt>
                <c:pt idx="1">
                  <c:v>32319</c:v>
                </c:pt>
                <c:pt idx="2">
                  <c:v>32319</c:v>
                </c:pt>
                <c:pt idx="3">
                  <c:v>927360</c:v>
                </c:pt>
                <c:pt idx="4">
                  <c:v>927360</c:v>
                </c:pt>
                <c:pt idx="5">
                  <c:v>927360</c:v>
                </c:pt>
                <c:pt idx="6">
                  <c:v>542439</c:v>
                </c:pt>
                <c:pt idx="7">
                  <c:v>542439</c:v>
                </c:pt>
                <c:pt idx="8">
                  <c:v>542439</c:v>
                </c:pt>
                <c:pt idx="9">
                  <c:v>2254037</c:v>
                </c:pt>
                <c:pt idx="10">
                  <c:v>2254037</c:v>
                </c:pt>
                <c:pt idx="11">
                  <c:v>2254037</c:v>
                </c:pt>
              </c:numCache>
            </c:numRef>
          </c:xVal>
          <c:yVal>
            <c:numRef>
              <c:f>Sheet3!$D$4:$D$15</c:f>
              <c:numCache>
                <c:formatCode>General</c:formatCode>
                <c:ptCount val="12"/>
                <c:pt idx="0">
                  <c:v>0</c:v>
                </c:pt>
                <c:pt idx="1">
                  <c:v>-500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-1500</c:v>
                </c:pt>
                <c:pt idx="6">
                  <c:v>-1500</c:v>
                </c:pt>
                <c:pt idx="7">
                  <c:v>-2000</c:v>
                </c:pt>
                <c:pt idx="8">
                  <c:v>-2500</c:v>
                </c:pt>
                <c:pt idx="9">
                  <c:v>-2500</c:v>
                </c:pt>
                <c:pt idx="10">
                  <c:v>-2800</c:v>
                </c:pt>
                <c:pt idx="11">
                  <c:v>-3000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A-4604-B994-7230A1C406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Sheet3!$F$4:$F$15</c:f>
              <c:numCache>
                <c:formatCode>0</c:formatCode>
                <c:ptCount val="12"/>
                <c:pt idx="0">
                  <c:v>32319</c:v>
                </c:pt>
                <c:pt idx="1">
                  <c:v>32319</c:v>
                </c:pt>
                <c:pt idx="2">
                  <c:v>32319</c:v>
                </c:pt>
                <c:pt idx="3">
                  <c:v>927360</c:v>
                </c:pt>
                <c:pt idx="4">
                  <c:v>927360</c:v>
                </c:pt>
                <c:pt idx="5">
                  <c:v>927360</c:v>
                </c:pt>
                <c:pt idx="6">
                  <c:v>271219</c:v>
                </c:pt>
                <c:pt idx="7">
                  <c:v>271219</c:v>
                </c:pt>
                <c:pt idx="8">
                  <c:v>271219</c:v>
                </c:pt>
                <c:pt idx="9">
                  <c:v>1127018</c:v>
                </c:pt>
                <c:pt idx="10">
                  <c:v>1127018</c:v>
                </c:pt>
                <c:pt idx="11">
                  <c:v>1127018</c:v>
                </c:pt>
              </c:numCache>
            </c:numRef>
          </c:xVal>
          <c:yVal>
            <c:numRef>
              <c:f>Sheet3!$D$4:$D$15</c:f>
              <c:numCache>
                <c:formatCode>General</c:formatCode>
                <c:ptCount val="12"/>
                <c:pt idx="0">
                  <c:v>0</c:v>
                </c:pt>
                <c:pt idx="1">
                  <c:v>-500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-1500</c:v>
                </c:pt>
                <c:pt idx="6">
                  <c:v>-1500</c:v>
                </c:pt>
                <c:pt idx="7">
                  <c:v>-2000</c:v>
                </c:pt>
                <c:pt idx="8">
                  <c:v>-2500</c:v>
                </c:pt>
                <c:pt idx="9">
                  <c:v>-2500</c:v>
                </c:pt>
                <c:pt idx="10">
                  <c:v>-2800</c:v>
                </c:pt>
                <c:pt idx="11">
                  <c:v>-3000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7A-4604-B994-7230A1C4063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Sheet3!$G$4:$G$15</c:f>
              <c:numCache>
                <c:formatCode>0</c:formatCode>
                <c:ptCount val="12"/>
                <c:pt idx="0">
                  <c:v>32319</c:v>
                </c:pt>
                <c:pt idx="1">
                  <c:v>32319</c:v>
                </c:pt>
                <c:pt idx="2">
                  <c:v>32319</c:v>
                </c:pt>
                <c:pt idx="3">
                  <c:v>927360</c:v>
                </c:pt>
                <c:pt idx="4">
                  <c:v>927360</c:v>
                </c:pt>
                <c:pt idx="5">
                  <c:v>927360</c:v>
                </c:pt>
                <c:pt idx="6">
                  <c:v>350658</c:v>
                </c:pt>
                <c:pt idx="7">
                  <c:v>350658</c:v>
                </c:pt>
                <c:pt idx="8">
                  <c:v>350658</c:v>
                </c:pt>
                <c:pt idx="9">
                  <c:v>853129</c:v>
                </c:pt>
                <c:pt idx="10">
                  <c:v>853129</c:v>
                </c:pt>
                <c:pt idx="11">
                  <c:v>853129</c:v>
                </c:pt>
              </c:numCache>
            </c:numRef>
          </c:xVal>
          <c:yVal>
            <c:numRef>
              <c:f>Sheet3!$D$4:$D$15</c:f>
              <c:numCache>
                <c:formatCode>General</c:formatCode>
                <c:ptCount val="12"/>
                <c:pt idx="0">
                  <c:v>0</c:v>
                </c:pt>
                <c:pt idx="1">
                  <c:v>-500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-1500</c:v>
                </c:pt>
                <c:pt idx="6">
                  <c:v>-1500</c:v>
                </c:pt>
                <c:pt idx="7">
                  <c:v>-2000</c:v>
                </c:pt>
                <c:pt idx="8">
                  <c:v>-2500</c:v>
                </c:pt>
                <c:pt idx="9">
                  <c:v>-2500</c:v>
                </c:pt>
                <c:pt idx="10">
                  <c:v>-2800</c:v>
                </c:pt>
                <c:pt idx="11">
                  <c:v>-3000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7A-4604-B994-7230A1C4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293040"/>
        <c:axId val="552286152"/>
      </c:scatterChart>
      <c:valAx>
        <c:axId val="55229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Helical</a:t>
                </a:r>
                <a:r>
                  <a:rPr lang="en-US" baseline="0"/>
                  <a:t> BUckling(N)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642257217847773"/>
              <c:y val="9.33101638157299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86152"/>
        <c:crosses val="autoZero"/>
        <c:crossBetween val="midCat"/>
      </c:valAx>
      <c:valAx>
        <c:axId val="55228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9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16</xdr:row>
      <xdr:rowOff>180975</xdr:rowOff>
    </xdr:from>
    <xdr:to>
      <xdr:col>17</xdr:col>
      <xdr:colOff>34435</xdr:colOff>
      <xdr:row>23</xdr:row>
      <xdr:rowOff>6302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43680-029F-4525-B78D-A021DE21E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62775" y="3448050"/>
          <a:ext cx="4177810" cy="2682827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9525</xdr:rowOff>
    </xdr:from>
    <xdr:to>
      <xdr:col>13</xdr:col>
      <xdr:colOff>304800</xdr:colOff>
      <xdr:row>11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56BAD-6931-4378-8011-6EA85A656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0</xdr:rowOff>
    </xdr:from>
    <xdr:to>
      <xdr:col>15</xdr:col>
      <xdr:colOff>314325</xdr:colOff>
      <xdr:row>12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E414D2-132A-4497-9547-ABD1E5FB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R22"/>
  <sheetViews>
    <sheetView topLeftCell="D3" workbookViewId="0">
      <selection activeCell="R11" sqref="R11:R13"/>
    </sheetView>
  </sheetViews>
  <sheetFormatPr defaultRowHeight="15" x14ac:dyDescent="0.25"/>
  <cols>
    <col min="13" max="13" width="11.42578125" customWidth="1"/>
    <col min="14" max="14" width="11.7109375" customWidth="1"/>
    <col min="15" max="15" width="10.7109375" customWidth="1"/>
    <col min="16" max="16" width="11" customWidth="1"/>
    <col min="17" max="17" width="12" bestFit="1" customWidth="1"/>
    <col min="18" max="18" width="17.28515625" customWidth="1"/>
  </cols>
  <sheetData>
    <row r="1" spans="7:18" x14ac:dyDescent="0.25">
      <c r="J1" s="44" t="s">
        <v>20</v>
      </c>
      <c r="K1" s="45"/>
      <c r="L1" s="45"/>
      <c r="M1" s="45"/>
      <c r="N1" s="45"/>
      <c r="O1" s="46"/>
    </row>
    <row r="2" spans="7:18" ht="15.75" thickBot="1" x14ac:dyDescent="0.3">
      <c r="J2" s="47"/>
      <c r="K2" s="48"/>
      <c r="L2" s="48"/>
      <c r="M2" s="48"/>
      <c r="N2" s="48"/>
      <c r="O2" s="49"/>
    </row>
    <row r="3" spans="7:18" x14ac:dyDescent="0.25">
      <c r="G3" s="56" t="s">
        <v>19</v>
      </c>
      <c r="H3" s="57"/>
      <c r="I3" s="57"/>
      <c r="J3" s="58"/>
      <c r="K3" s="58"/>
      <c r="L3" s="58"/>
      <c r="M3" s="58"/>
      <c r="N3" s="58"/>
      <c r="O3" s="58"/>
      <c r="P3" s="57"/>
      <c r="Q3" s="57"/>
      <c r="R3" s="59"/>
    </row>
    <row r="4" spans="7:18" ht="15.75" thickBot="1" x14ac:dyDescent="0.3">
      <c r="G4" s="60"/>
      <c r="H4" s="58"/>
      <c r="I4" s="58"/>
      <c r="J4" s="58"/>
      <c r="K4" s="58"/>
      <c r="L4" s="58"/>
      <c r="M4" s="58"/>
      <c r="N4" s="58"/>
      <c r="O4" s="58"/>
      <c r="P4" s="58"/>
      <c r="Q4" s="58"/>
      <c r="R4" s="61"/>
    </row>
    <row r="5" spans="7:18" ht="15" customHeight="1" x14ac:dyDescent="0.25">
      <c r="G5" s="62" t="s">
        <v>0</v>
      </c>
      <c r="H5" s="23" t="s">
        <v>1</v>
      </c>
      <c r="I5" s="23" t="s">
        <v>2</v>
      </c>
      <c r="J5" s="23" t="s">
        <v>3</v>
      </c>
      <c r="K5" s="23" t="s">
        <v>4</v>
      </c>
      <c r="L5" s="21" t="s">
        <v>5</v>
      </c>
      <c r="M5" s="21" t="s">
        <v>21</v>
      </c>
      <c r="N5" s="23"/>
      <c r="O5" s="23"/>
      <c r="P5" s="23"/>
      <c r="Q5" s="23" t="s">
        <v>6</v>
      </c>
      <c r="R5" s="50" t="s">
        <v>7</v>
      </c>
    </row>
    <row r="6" spans="7:18" x14ac:dyDescent="0.25">
      <c r="G6" s="63"/>
      <c r="H6" s="24"/>
      <c r="I6" s="24"/>
      <c r="J6" s="24"/>
      <c r="K6" s="24"/>
      <c r="L6" s="22"/>
      <c r="M6" s="24"/>
      <c r="N6" s="24"/>
      <c r="O6" s="24"/>
      <c r="P6" s="24"/>
      <c r="Q6" s="24"/>
      <c r="R6" s="51"/>
    </row>
    <row r="7" spans="7:18" x14ac:dyDescent="0.25">
      <c r="G7" s="63"/>
      <c r="H7" s="24"/>
      <c r="I7" s="24"/>
      <c r="J7" s="24"/>
      <c r="K7" s="24"/>
      <c r="L7" s="22"/>
      <c r="M7" s="52" t="s">
        <v>8</v>
      </c>
      <c r="N7" s="53"/>
      <c r="O7" s="54" t="s">
        <v>9</v>
      </c>
      <c r="P7" s="55"/>
      <c r="Q7" s="24"/>
      <c r="R7" s="51"/>
    </row>
    <row r="8" spans="7:18" ht="15" customHeight="1" x14ac:dyDescent="0.25">
      <c r="G8" s="25" t="s">
        <v>10</v>
      </c>
      <c r="H8" s="1">
        <f>9.625*0.0254</f>
        <v>0.244475</v>
      </c>
      <c r="I8" s="1">
        <f>5*0.0254</f>
        <v>0.127</v>
      </c>
      <c r="J8" s="1">
        <f>4*0.0254</f>
        <v>0.1016</v>
      </c>
      <c r="K8" s="1">
        <f>2.1*10^11</f>
        <v>210000000000</v>
      </c>
      <c r="L8" s="1">
        <f>36*9.81</f>
        <v>353.16</v>
      </c>
      <c r="M8" s="7" t="s">
        <v>11</v>
      </c>
      <c r="N8" s="3">
        <f>1.94*(K8*Q8*(L8^2))^(1/3)</f>
        <v>11297.088975174058</v>
      </c>
      <c r="O8" s="7" t="s">
        <v>12</v>
      </c>
      <c r="P8" s="10" t="s">
        <v>27</v>
      </c>
      <c r="Q8" s="5">
        <f>(3.1416/64)*(I8^4-J8^4)</f>
        <v>7.5393194784276615E-6</v>
      </c>
      <c r="R8" s="6"/>
    </row>
    <row r="9" spans="7:18" x14ac:dyDescent="0.25">
      <c r="G9" s="26"/>
      <c r="H9" s="1">
        <f>9.625*0.0254</f>
        <v>0.244475</v>
      </c>
      <c r="I9" s="1">
        <f>5*0.0254</f>
        <v>0.127</v>
      </c>
      <c r="J9" s="1">
        <f>4*0.0254</f>
        <v>0.1016</v>
      </c>
      <c r="K9" s="1">
        <f>2.1*10^11</f>
        <v>210000000000</v>
      </c>
      <c r="L9" s="1">
        <f>L8</f>
        <v>353.16</v>
      </c>
      <c r="M9" s="7" t="s">
        <v>12</v>
      </c>
      <c r="N9" s="10" t="s">
        <v>27</v>
      </c>
      <c r="O9" s="7" t="s">
        <v>12</v>
      </c>
      <c r="P9" s="3">
        <f>5.55*(K9*Q9*(L9^2))^(1/3)</f>
        <v>32318.99165578145</v>
      </c>
      <c r="Q9" s="5">
        <f>(3.1416/64)*(I9^4-J9^4)</f>
        <v>7.5393194784276615E-6</v>
      </c>
      <c r="R9" s="6"/>
    </row>
    <row r="10" spans="7:18" x14ac:dyDescent="0.25">
      <c r="G10" s="2" t="s">
        <v>13</v>
      </c>
      <c r="H10" s="1">
        <f>9.625*0.0254</f>
        <v>0.244475</v>
      </c>
      <c r="I10" s="1">
        <f>5*0.0254</f>
        <v>0.127</v>
      </c>
      <c r="J10" s="1">
        <f>4*0.0254</f>
        <v>0.1016</v>
      </c>
      <c r="K10" s="1">
        <f>2.1*10^11</f>
        <v>210000000000</v>
      </c>
      <c r="L10" s="1">
        <f>L9</f>
        <v>353.16</v>
      </c>
      <c r="M10" s="7" t="s">
        <v>28</v>
      </c>
      <c r="N10" s="3">
        <f>(2*K10*Q10*H20/R10)*(1+(1+(L10*SIN(H22)*R10/(K10*Q10*H20^2)))^0.5)</f>
        <v>327830.38023890421</v>
      </c>
      <c r="O10" s="7" t="s">
        <v>28</v>
      </c>
      <c r="P10" s="3">
        <f>2.83*N10</f>
        <v>927759.97607609897</v>
      </c>
      <c r="Q10" s="5">
        <f>(3.1416/64)*(I10^4-J10^4)</f>
        <v>7.5393194784276615E-6</v>
      </c>
      <c r="R10" s="6">
        <f>0.5*(H10-I10)</f>
        <v>5.8737499999999998E-2</v>
      </c>
    </row>
    <row r="11" spans="7:18" x14ac:dyDescent="0.25">
      <c r="G11" s="33" t="s">
        <v>14</v>
      </c>
      <c r="H11" s="37">
        <f>9.625*0.0254</f>
        <v>0.244475</v>
      </c>
      <c r="I11" s="35">
        <f>5*0.0254</f>
        <v>0.127</v>
      </c>
      <c r="J11" s="35">
        <f>J9</f>
        <v>0.1016</v>
      </c>
      <c r="K11" s="35">
        <f>2.1*10^11</f>
        <v>210000000000</v>
      </c>
      <c r="L11" s="35">
        <f>L9</f>
        <v>353.16</v>
      </c>
      <c r="M11" s="28" t="s">
        <v>15</v>
      </c>
      <c r="N11" s="30">
        <f>2*(K11*Q11*L11*SIN(H22)/R11)^0.5</f>
        <v>191781.022860342</v>
      </c>
      <c r="O11" s="7" t="s">
        <v>16</v>
      </c>
      <c r="P11" s="3">
        <f>(2^0.5)*N11</f>
        <v>271219.32353488024</v>
      </c>
      <c r="Q11" s="31">
        <f>(3.1416/64)*(I11^4-J11^4)</f>
        <v>7.5393194784276615E-6</v>
      </c>
      <c r="R11" s="32">
        <f>0.5*(H11-I11)</f>
        <v>5.8737499999999998E-2</v>
      </c>
    </row>
    <row r="12" spans="7:18" ht="30" x14ac:dyDescent="0.25">
      <c r="G12" s="33"/>
      <c r="H12" s="38"/>
      <c r="I12" s="35"/>
      <c r="J12" s="35"/>
      <c r="K12" s="35"/>
      <c r="L12" s="35"/>
      <c r="M12" s="29"/>
      <c r="N12" s="30"/>
      <c r="O12" s="8" t="s">
        <v>29</v>
      </c>
      <c r="P12" s="3">
        <f>2*(2*(2^0.5)-1)*((K11*Q11)^0.5)*(L11^0.5)*(SIN(H22)/R11)^0.5</f>
        <v>350657.62420941849</v>
      </c>
      <c r="Q12" s="31"/>
      <c r="R12" s="32"/>
    </row>
    <row r="13" spans="7:18" x14ac:dyDescent="0.25">
      <c r="G13" s="33"/>
      <c r="H13" s="39"/>
      <c r="I13" s="35"/>
      <c r="J13" s="35"/>
      <c r="K13" s="35"/>
      <c r="L13" s="35"/>
      <c r="M13" s="29"/>
      <c r="N13" s="30"/>
      <c r="O13" s="7" t="s">
        <v>17</v>
      </c>
      <c r="P13" s="3">
        <f>4*(2^0.5)*((K11*Q11)^0.5)*(L11^0.5)*(SIN(H22)/R11)^0.5</f>
        <v>542438.64706976048</v>
      </c>
      <c r="Q13" s="31"/>
      <c r="R13" s="32"/>
    </row>
    <row r="14" spans="7:18" x14ac:dyDescent="0.25">
      <c r="G14" s="33" t="s">
        <v>18</v>
      </c>
      <c r="H14" s="35">
        <f>9.625*0.0254</f>
        <v>0.244475</v>
      </c>
      <c r="I14" s="35">
        <f>6.75*0.0254</f>
        <v>0.17144999999999999</v>
      </c>
      <c r="J14" s="35">
        <f>4.75*0.0254</f>
        <v>0.12064999999999999</v>
      </c>
      <c r="K14" s="35">
        <f>2.1*10^11</f>
        <v>210000000000</v>
      </c>
      <c r="L14" s="35">
        <f>91*9.81</f>
        <v>892.71</v>
      </c>
      <c r="M14" s="28" t="s">
        <v>15</v>
      </c>
      <c r="N14" s="30">
        <f>2*(K14*Q14*L14*SIN(H22)/R14)^0.5</f>
        <v>796922.36104120163</v>
      </c>
      <c r="O14" s="7" t="s">
        <v>16</v>
      </c>
      <c r="P14" s="3">
        <f>(2^0.5)*N14</f>
        <v>1127018.4111428556</v>
      </c>
      <c r="Q14" s="31">
        <f>(3.1416/64)*(I14^4-J14^4)</f>
        <v>3.2014014113174349E-5</v>
      </c>
      <c r="R14" s="32">
        <f>0.5*(H14-I14)</f>
        <v>3.6512500000000003E-2</v>
      </c>
    </row>
    <row r="15" spans="7:18" x14ac:dyDescent="0.25">
      <c r="G15" s="33"/>
      <c r="H15" s="35"/>
      <c r="I15" s="35"/>
      <c r="J15" s="35"/>
      <c r="K15" s="35"/>
      <c r="L15" s="35"/>
      <c r="M15" s="29"/>
      <c r="N15" s="30"/>
      <c r="O15" s="7" t="s">
        <v>12</v>
      </c>
      <c r="P15" s="3">
        <f>2*(2*(2^0.05)-1)*((K14*Q14)^0.5)*(L14^0.5)*(SIN(H22)/R14)^0.5</f>
        <v>853129.17378041917</v>
      </c>
      <c r="Q15" s="31"/>
      <c r="R15" s="32"/>
    </row>
    <row r="16" spans="7:18" ht="15.75" thickBot="1" x14ac:dyDescent="0.3">
      <c r="G16" s="34"/>
      <c r="H16" s="36"/>
      <c r="I16" s="35"/>
      <c r="J16" s="36"/>
      <c r="K16" s="36"/>
      <c r="L16" s="36"/>
      <c r="M16" s="40"/>
      <c r="N16" s="41"/>
      <c r="O16" s="9" t="s">
        <v>17</v>
      </c>
      <c r="P16" s="4">
        <f>4*(2^0.5)*((K14*Q14)^0.5)*(L14^0.5)*(SIN(H22)/R14)^0.5</f>
        <v>2254036.8222857113</v>
      </c>
      <c r="Q16" s="42"/>
      <c r="R16" s="43"/>
    </row>
    <row r="18" spans="7:8" x14ac:dyDescent="0.25">
      <c r="G18" s="27" t="s">
        <v>22</v>
      </c>
      <c r="H18" s="27"/>
    </row>
    <row r="19" spans="7:8" ht="60" x14ac:dyDescent="0.25">
      <c r="G19" s="11" t="s">
        <v>23</v>
      </c>
      <c r="H19" s="12">
        <v>500</v>
      </c>
    </row>
    <row r="20" spans="7:8" ht="30" x14ac:dyDescent="0.25">
      <c r="G20" s="11" t="s">
        <v>24</v>
      </c>
      <c r="H20" s="12">
        <f>1/H19</f>
        <v>2E-3</v>
      </c>
    </row>
    <row r="21" spans="7:8" ht="45" x14ac:dyDescent="0.25">
      <c r="G21" s="11" t="s">
        <v>25</v>
      </c>
      <c r="H21" s="13">
        <v>75</v>
      </c>
    </row>
    <row r="22" spans="7:8" ht="45" x14ac:dyDescent="0.25">
      <c r="G22" s="11" t="s">
        <v>26</v>
      </c>
      <c r="H22" s="13">
        <f>H21*PI()/180</f>
        <v>1.3089969389957472</v>
      </c>
    </row>
  </sheetData>
  <mergeCells count="35">
    <mergeCell ref="R14:R16"/>
    <mergeCell ref="J1:O2"/>
    <mergeCell ref="Q5:Q7"/>
    <mergeCell ref="R5:R7"/>
    <mergeCell ref="M7:N7"/>
    <mergeCell ref="O7:P7"/>
    <mergeCell ref="L11:L13"/>
    <mergeCell ref="G3:R4"/>
    <mergeCell ref="G5:G7"/>
    <mergeCell ref="H5:H7"/>
    <mergeCell ref="I5:I7"/>
    <mergeCell ref="J5:J7"/>
    <mergeCell ref="K5:K7"/>
    <mergeCell ref="Q11:Q13"/>
    <mergeCell ref="R11:R13"/>
    <mergeCell ref="G14:G16"/>
    <mergeCell ref="H14:H16"/>
    <mergeCell ref="I14:I16"/>
    <mergeCell ref="J14:J16"/>
    <mergeCell ref="K14:K16"/>
    <mergeCell ref="L14:L16"/>
    <mergeCell ref="G11:G13"/>
    <mergeCell ref="H11:H13"/>
    <mergeCell ref="I11:I13"/>
    <mergeCell ref="J11:J13"/>
    <mergeCell ref="K11:K13"/>
    <mergeCell ref="M14:M16"/>
    <mergeCell ref="N14:N16"/>
    <mergeCell ref="Q14:Q16"/>
    <mergeCell ref="L5:L7"/>
    <mergeCell ref="M5:P6"/>
    <mergeCell ref="G8:G9"/>
    <mergeCell ref="G18:H18"/>
    <mergeCell ref="M11:M13"/>
    <mergeCell ref="N11:N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7D97-20E6-45CC-A65E-D79CB5E01876}">
  <dimension ref="D2:E14"/>
  <sheetViews>
    <sheetView tabSelected="1" workbookViewId="0">
      <selection activeCell="E6" sqref="E6"/>
    </sheetView>
  </sheetViews>
  <sheetFormatPr defaultRowHeight="15" x14ac:dyDescent="0.25"/>
  <cols>
    <col min="4" max="4" width="11" customWidth="1"/>
    <col min="5" max="5" width="15.42578125" customWidth="1"/>
  </cols>
  <sheetData>
    <row r="2" spans="4:5" ht="45.75" thickBot="1" x14ac:dyDescent="0.3">
      <c r="D2" s="15" t="s">
        <v>33</v>
      </c>
      <c r="E2" s="18" t="s">
        <v>31</v>
      </c>
    </row>
    <row r="3" spans="4:5" ht="15.75" x14ac:dyDescent="0.25">
      <c r="D3" s="16">
        <v>0</v>
      </c>
      <c r="E3" s="19">
        <v>11297</v>
      </c>
    </row>
    <row r="4" spans="4:5" ht="15.75" x14ac:dyDescent="0.25">
      <c r="D4" s="17">
        <v>-500</v>
      </c>
      <c r="E4" s="20">
        <v>11297</v>
      </c>
    </row>
    <row r="5" spans="4:5" ht="15.75" x14ac:dyDescent="0.25">
      <c r="D5" s="17">
        <v>-500</v>
      </c>
      <c r="E5" s="20">
        <v>11297</v>
      </c>
    </row>
    <row r="6" spans="4:5" ht="15.75" x14ac:dyDescent="0.25">
      <c r="D6" s="17">
        <v>-1000</v>
      </c>
      <c r="E6" s="20">
        <v>327830</v>
      </c>
    </row>
    <row r="7" spans="4:5" ht="15.75" x14ac:dyDescent="0.25">
      <c r="D7" s="17">
        <v>-1000</v>
      </c>
      <c r="E7" s="20">
        <v>327830</v>
      </c>
    </row>
    <row r="8" spans="4:5" ht="15.75" x14ac:dyDescent="0.25">
      <c r="D8" s="17">
        <v>-1500</v>
      </c>
      <c r="E8" s="20">
        <v>327830</v>
      </c>
    </row>
    <row r="9" spans="4:5" ht="15.75" x14ac:dyDescent="0.25">
      <c r="D9" s="17">
        <v>-1500</v>
      </c>
      <c r="E9" s="20">
        <v>191781</v>
      </c>
    </row>
    <row r="10" spans="4:5" ht="15.75" x14ac:dyDescent="0.25">
      <c r="D10" s="17">
        <v>-2000</v>
      </c>
      <c r="E10" s="20">
        <v>191781</v>
      </c>
    </row>
    <row r="11" spans="4:5" ht="15.75" x14ac:dyDescent="0.25">
      <c r="D11" s="17">
        <v>-2000</v>
      </c>
      <c r="E11" s="20">
        <v>191781</v>
      </c>
    </row>
    <row r="12" spans="4:5" ht="15.75" x14ac:dyDescent="0.25">
      <c r="D12" s="17">
        <v>-2500</v>
      </c>
      <c r="E12" s="20">
        <v>796922</v>
      </c>
    </row>
    <row r="13" spans="4:5" ht="15.75" x14ac:dyDescent="0.25">
      <c r="D13" s="17">
        <v>-2500</v>
      </c>
      <c r="E13" s="20">
        <v>796922</v>
      </c>
    </row>
    <row r="14" spans="4:5" ht="15.75" x14ac:dyDescent="0.25">
      <c r="D14" s="17">
        <v>-3000</v>
      </c>
      <c r="E14" s="20">
        <v>796922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CFBC-6BDD-4444-BA67-F6D40D5796C7}">
  <dimension ref="D3:G15"/>
  <sheetViews>
    <sheetView topLeftCell="B2" workbookViewId="0">
      <selection activeCell="J16" sqref="J16"/>
    </sheetView>
  </sheetViews>
  <sheetFormatPr defaultRowHeight="15" x14ac:dyDescent="0.25"/>
  <cols>
    <col min="5" max="5" width="14.42578125" customWidth="1"/>
    <col min="6" max="6" width="13.140625" customWidth="1"/>
    <col min="7" max="7" width="14.28515625" customWidth="1"/>
  </cols>
  <sheetData>
    <row r="3" spans="4:7" ht="60.75" thickBot="1" x14ac:dyDescent="0.3">
      <c r="D3" s="14" t="s">
        <v>30</v>
      </c>
      <c r="E3" s="18" t="s">
        <v>32</v>
      </c>
      <c r="F3" s="18" t="s">
        <v>32</v>
      </c>
      <c r="G3" s="18" t="s">
        <v>32</v>
      </c>
    </row>
    <row r="4" spans="4:7" ht="15.75" x14ac:dyDescent="0.25">
      <c r="D4" s="16">
        <v>0</v>
      </c>
      <c r="E4" s="19">
        <v>32319</v>
      </c>
      <c r="F4" s="19">
        <v>32319</v>
      </c>
      <c r="G4" s="19">
        <v>32319</v>
      </c>
    </row>
    <row r="5" spans="4:7" ht="15.75" x14ac:dyDescent="0.25">
      <c r="D5" s="17">
        <v>-500</v>
      </c>
      <c r="E5" s="20">
        <v>32319</v>
      </c>
      <c r="F5" s="20">
        <v>32319</v>
      </c>
      <c r="G5" s="20">
        <v>32319</v>
      </c>
    </row>
    <row r="6" spans="4:7" ht="15.75" x14ac:dyDescent="0.25">
      <c r="D6" s="17">
        <v>-1000</v>
      </c>
      <c r="E6" s="20">
        <v>32319</v>
      </c>
      <c r="F6" s="20">
        <v>32319</v>
      </c>
      <c r="G6" s="20">
        <v>32319</v>
      </c>
    </row>
    <row r="7" spans="4:7" ht="15.75" x14ac:dyDescent="0.25">
      <c r="D7" s="17">
        <v>-1000</v>
      </c>
      <c r="E7" s="20">
        <v>927360</v>
      </c>
      <c r="F7" s="20">
        <v>927360</v>
      </c>
      <c r="G7" s="20">
        <v>927360</v>
      </c>
    </row>
    <row r="8" spans="4:7" ht="15.75" x14ac:dyDescent="0.25">
      <c r="D8" s="17">
        <v>-1000</v>
      </c>
      <c r="E8" s="20">
        <v>927360</v>
      </c>
      <c r="F8" s="20">
        <v>927360</v>
      </c>
      <c r="G8" s="20">
        <v>927360</v>
      </c>
    </row>
    <row r="9" spans="4:7" ht="15.75" x14ac:dyDescent="0.25">
      <c r="D9" s="17">
        <v>-1500</v>
      </c>
      <c r="E9" s="20">
        <v>927360</v>
      </c>
      <c r="F9" s="20">
        <v>927360</v>
      </c>
      <c r="G9" s="20">
        <v>927360</v>
      </c>
    </row>
    <row r="10" spans="4:7" ht="15.75" x14ac:dyDescent="0.25">
      <c r="D10" s="17">
        <v>-1500</v>
      </c>
      <c r="E10" s="20">
        <v>542439</v>
      </c>
      <c r="F10" s="20">
        <v>271219</v>
      </c>
      <c r="G10" s="20">
        <v>350658</v>
      </c>
    </row>
    <row r="11" spans="4:7" ht="15.75" x14ac:dyDescent="0.25">
      <c r="D11" s="17">
        <v>-2000</v>
      </c>
      <c r="E11" s="20">
        <v>542439</v>
      </c>
      <c r="F11" s="20">
        <v>271219</v>
      </c>
      <c r="G11" s="20">
        <v>350658</v>
      </c>
    </row>
    <row r="12" spans="4:7" ht="15.75" x14ac:dyDescent="0.25">
      <c r="D12" s="17">
        <v>-2500</v>
      </c>
      <c r="E12" s="20">
        <v>542439</v>
      </c>
      <c r="F12" s="20">
        <v>271219</v>
      </c>
      <c r="G12" s="20">
        <v>350658</v>
      </c>
    </row>
    <row r="13" spans="4:7" ht="15.75" x14ac:dyDescent="0.25">
      <c r="D13" s="17">
        <v>-2500</v>
      </c>
      <c r="E13" s="20">
        <v>2254037</v>
      </c>
      <c r="F13" s="20">
        <v>1127018</v>
      </c>
      <c r="G13" s="20">
        <v>853129</v>
      </c>
    </row>
    <row r="14" spans="4:7" ht="15.75" x14ac:dyDescent="0.25">
      <c r="D14" s="17">
        <v>-2800</v>
      </c>
      <c r="E14" s="20">
        <v>2254037</v>
      </c>
      <c r="F14" s="20">
        <v>1127018</v>
      </c>
      <c r="G14" s="20">
        <v>853129</v>
      </c>
    </row>
    <row r="15" spans="4:7" ht="15.75" x14ac:dyDescent="0.25">
      <c r="D15" s="17">
        <v>-3000</v>
      </c>
      <c r="E15" s="20">
        <v>2254037</v>
      </c>
      <c r="F15" s="20">
        <v>1127018</v>
      </c>
      <c r="G15" s="20">
        <v>853129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2019-03-23T15:44:00Z</dcterms:modified>
</cp:coreProperties>
</file>